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545"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<sst xmlns="http://schemas.openxmlformats.org/spreadsheetml/2006/main" count="4925" uniqueCount="2986">
  <si>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</si>
  <si>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</si>
  <si>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</si>
  <si>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</si>
  <si>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</si>
  <si>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</si>
  <si>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</si>
  <si>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</si>
  <si>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</si>
  <si>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</si>
  <si>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</si>
  <si>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</si>
  <si>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</si>
  <si>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</si>
  <si>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</si>
  <si>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</si>
  <si>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</si>
  <si>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</si>
  <si>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</si>
  <si>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</si>
  <si>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</si>
  <si>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</si>
  <si>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</si>
  <si>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</si>
  <si>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</si>
  <si>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</si>
  <si>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</si>
  <si>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</si>
  <si>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</si>
  <si>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</si>
  <si>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</si>
  <si>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</si>
  <si>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</si>
  <si>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</si>
  <si>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</si>
  <si>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</si>
  <si>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</si>
  <si>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</si>
  <si>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</si>
  <si>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</si>
  <si>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</si>
  <si>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</si>
  <si>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</si>
  <si>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</si>
  <si>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</si>
  <si>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</si>
  <si>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</si>
  <si>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</si>
  <si>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</si>
  <si>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</si>
  <si>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</si>
  <si>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</si>
  <si>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</si>
  <si>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</si>
  <si>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</si>
  <si>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</si>
  <si>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</si>
  <si>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</si>
  <si>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</si>
  <si>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</si>
  <si>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</si>
  <si>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</si>
  <si>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</si>
  <si>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</si>
  <si>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</si>
  <si>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</si>
  <si>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</si>
  <si>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</si>
  <si>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</si>
  <si>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</si>
  <si>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</si>
  <si>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</si>
  <si>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</si>
  <si>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</si>
  <si>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</si>
  <si>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</si>
  <si>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</si>
  <si>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</si>
  <si>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</si>
  <si>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</si>
  <si>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</si>
  <si>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</si>
  <si>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</si>
  <si>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</si>
  <si>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</si>
  <si>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</si>
  <si>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</si>
  <si>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</si>
  <si>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</si>
  <si>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</si>
  <si>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</si>
  <si>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</si>
  <si>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</si>
  <si>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</si>
  <si>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</si>
  <si>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</si>
  <si>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</si>
  <si>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</si>
  <si>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</si>
  <si>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</si>
  <si>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</si>
  <si>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</si>
  <si>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</si>
  <si>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</si>
  <si>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</si>
  <si>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</si>
  <si>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</si>
  <si>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</si>
  <si>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</si>
  <si>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</si>
  <si>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</si>
  <si>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</si>
  <si>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</si>
  <si>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</si>
  <si>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</si>
  <si>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</si>
  <si>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</si>
  <si>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</si>
  <si>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</si>
  <si>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</si>
  <si>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</si>
  <si>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</si>
  <si>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</si>
  <si>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</si>
  <si>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</si>
  <si>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</si>
  <si>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</si>
  <si>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</si>
  <si>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</si>
  <si>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</si>
  <si>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</si>
  <si>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</si>
  <si>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</si>
  <si>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</si>
  <si>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</si>
  <si>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</si>
  <si>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</si>
  <si>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</si>
  <si>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</si>
  <si>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</si>
  <si>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</si>
  <si>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</si>
  <si>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</si>
  <si>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</si>
  <si>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</si>
  <si>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</si>
  <si>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</si>
  <si>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</si>
  <si>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</si>
  <si>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</si>
  <si>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</si>
  <si>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</si>
  <si>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</si>
  <si>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</si>
  <si>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</si>
  <si>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</si>
  <si>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</si>
  <si>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</si>
  <si>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</si>
  <si>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</si>
  <si>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</si>
  <si>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</si>
  <si>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</si>
  <si>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</si>
  <si>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</si>
  <si>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</si>
  <si>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</si>
  <si>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</si>
  <si>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</si>
  <si>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</si>
  <si>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</si>
  <si>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</si>
  <si>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</si>
  <si>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</si>
  <si>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</si>
  <si>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</si>
  <si>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</si>
  <si>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</si>
  <si>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</si>
  <si>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</si>
  <si>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</si>
  <si>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</si>
  <si>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</si>
  <si>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</si>
  <si>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</si>
  <si>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</si>
  <si>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</si>
  <si>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</si>
  <si>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</si>
  <si>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</si>
  <si>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</si>
  <si>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</si>
  <si>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</si>
  <si>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</si>
  <si>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</si>
  <si>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</si>
  <si>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</si>
  <si>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</si>
  <si>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</si>
  <si>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</si>
  <si>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</si>
  <si>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</si>
  <si>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</si>
  <si>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</si>
  <si>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</si>
  <si>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</si>
  <si>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</si>
  <si>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</si>
  <si>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</si>
  <si>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</si>
  <si>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</si>
  <si>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</si>
  <si>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</si>
  <si>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</si>
  <si>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</si>
  <si>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</si>
  <si>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</si>
  <si>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</si>
  <si>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</si>
  <si>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</si>
  <si>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</si>
  <si>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</si>
  <si>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</si>
  <si>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</si>
  <si>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</si>
  <si>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</si>
  <si>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</si>
  <si>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</si>
  <si>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</si>
  <si>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</si>
  <si>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</si>
  <si>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</si>
  <si>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</si>
  <si>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</si>
  <si>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</si>
  <si>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</si>
  <si>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</si>
  <si>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</si>
  <si>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</si>
  <si>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</si>
  <si>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</si>
  <si>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</si>
  <si>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</si>
  <si>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</si>
  <si>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</si>
  <si>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</si>
  <si>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</si>
  <si>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</si>
  <si>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</si>
  <si>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</si>
  <si>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</si>
  <si>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</si>
  <si>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</si>
  <si>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</si>
  <si>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</si>
  <si>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</si>
  <si>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</si>
  <si>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</si>
  <si>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</si>
  <si>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</si>
  <si>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</si>
  <si>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</si>
  <si>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</si>
  <si>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</si>
  <si>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</si>
  <si>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</si>
  <si>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</si>
  <si>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</si>
  <si>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</si>
  <si>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</si>
  <si>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</si>
  <si>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</si>
  <si>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</si>
  <si>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</si>
  <si>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</si>
  <si>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</si>
  <si>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</si>
  <si>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</si>
  <si>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</si>
  <si>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</si>
  <si>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</si>
  <si>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</si>
  <si>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</si>
  <si>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</si>
  <si>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</si>
  <si>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</si>
  <si>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</si>
  <si>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</si>
  <si>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</si>
  <si>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</si>
  <si>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</si>
  <si>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</si>
  <si>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</si>
  <si>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</si>
  <si>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</si>
  <si>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</si>
  <si>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</si>
  <si>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</si>
  <si>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</si>
  <si>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</si>
  <si>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</si>
  <si>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</si>
  <si>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</si>
  <si>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</si>
  <si>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</si>
  <si>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</si>
  <si>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</si>
  <si>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</si>
  <si>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</si>
  <si>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</si>
  <si>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</si>
  <si>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</si>
  <si>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</si>
  <si>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</si>
  <si>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</si>
  <si>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</si>
  <si>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</si>
  <si>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</si>
  <si>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</si>
  <si>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</si>
  <si>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</si>
  <si>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</si>
  <si>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</si>
  <si>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</si>
  <si>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</si>
  <si>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</si>
  <si>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</si>
  <si>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</si>
  <si>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</si>
  <si>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</si>
  <si>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</si>
  <si>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</si>
  <si>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</si>
  <si>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</si>
  <si>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</si>
  <si>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</si>
  <si>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</si>
  <si>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</si>
  <si>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</si>
  <si>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</si>
  <si>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</si>
  <si>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</si>
  <si>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</si>
  <si>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</si>
  <si>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</si>
  <si>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</si>
  <si>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</si>
  <si>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</si>
  <si>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</si>
  <si>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</si>
  <si>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</si>
  <si>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</si>
  <si>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</si>
  <si>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</si>
  <si>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</si>
  <si>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</si>
  <si>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</si>
  <si>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</si>
  <si>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</si>
  <si>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</si>
  <si>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</si>
  <si>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</si>
  <si>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</si>
  <si>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</si>
  <si>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</si>
  <si>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</si>
  <si>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</si>
  <si>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</si>
  <si>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</si>
  <si>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</si>
  <si>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</si>
  <si>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</si>
  <si>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</si>
  <si>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</si>
  <si>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</si>
  <si>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</si>
  <si>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</si>
  <si>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</si>
  <si>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</si>
  <si>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</si>
  <si>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</si>
  <si>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</si>
  <si>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</si>
  <si>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</si>
  <si>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</si>
  <si>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</si>
  <si>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</si>
  <si>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</si>
  <si>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</si>
  <si>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</si>
  <si>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</si>
  <si>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</si>
  <si>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</si>
  <si>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</si>
  <si>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</si>
  <si>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</si>
  <si>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</si>
  <si>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</si>
  <si>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</si>
  <si>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</si>
  <si>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</si>
  <si>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</si>
  <si>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</si>
  <si>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</si>
  <si>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</si>
  <si>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</si>
  <si>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</si>
  <si>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</si>
  <si>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</si>
  <si>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</si>
  <si>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</si>
  <si>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</si>
  <si>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</si>
  <si>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</si>
  <si>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</si>
  <si>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</si>
  <si>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</si>
  <si>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</si>
  <si>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</si>
  <si>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</si>
  <si>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</si>
  <si>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</si>
  <si>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</si>
  <si>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</si>
  <si>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</si>
  <si>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</si>
  <si>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</si>
  <si>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</si>
  <si>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</si>
  <si>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</si>
  <si>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</si>
  <si>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</si>
  <si>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</si>
  <si>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</si>
  <si>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</si>
  <si>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</si>
  <si>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</si>
  <si>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</si>
  <si>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</si>
  <si>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</si>
  <si>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</si>
  <si>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</si>
  <si>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</si>
  <si>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</si>
  <si>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</si>
  <si>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</si>
  <si>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</si>
  <si>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</si>
  <si>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</si>
  <si>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</si>
  <si>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</si>
  <si>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</si>
  <si>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</si>
  <si>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</si>
  <si>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</si>
  <si>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</si>
  <si>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</si>
  <si>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</si>
  <si>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</si>
  <si>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</si>
  <si>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</si>
  <si>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</si>
  <si>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</si>
  <si>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</si>
  <si>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</si>
  <si>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</si>
  <si>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</si>
  <si>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</si>
  <si>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</si>
  <si>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</si>
  <si>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</si>
  <si>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</si>
  <si>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</si>
  <si>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</si>
  <si>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</si>
  <si>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</si>
  <si>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</si>
  <si>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</si>
  <si>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</si>
  <si>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</si>
  <si>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</si>
  <si>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</si>
  <si>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</si>
  <si>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</si>
  <si>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</si>
  <si>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</si>
  <si>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</si>
  <si>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</si>
  <si>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</si>
  <si>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</si>
  <si>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</si>
  <si>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</si>
  <si>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</si>
  <si>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</si>
  <si>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</si>
  <si>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</si>
  <si>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</si>
  <si>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</si>
  <si>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</si>
  <si>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</si>
  <si>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</si>
  <si>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</si>
  <si>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</si>
  <si>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</si>
  <si>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</si>
  <si>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</si>
  <si>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</si>
  <si>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</si>
  <si>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</si>
  <si>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</si>
  <si>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</si>
  <si>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</si>
  <si>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</si>
  <si>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</si>
  <si>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</si>
  <si>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</si>
  <si>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</si>
  <si>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</si>
  <si>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</si>
  <si>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</si>
  <si>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</si>
  <si>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</si>
  <si>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</si>
  <si>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</si>
  <si>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</si>
  <si>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</si>
  <si>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</si>
  <si>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</si>
  <si>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</si>
  <si>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</si>
  <si>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</si>
  <si>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</si>
  <si>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</si>
  <si>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</si>
  <si>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</si>
  <si>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</si>
  <si>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</si>
  <si>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</si>
  <si>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</si>
  <si>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</si>
  <si>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</si>
  <si>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</si>
  <si>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</si>
  <si>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</si>
  <si>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</si>
  <si>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</si>
  <si>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</si>
  <si>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</si>
  <si>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</si>
  <si>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</si>
  <si>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</si>
  <si>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</si>
  <si>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</si>
  <si>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</si>
  <si>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</si>
  <si>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</si>
  <si>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</si>
  <si>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</si>
  <si>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</si>
  <si>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</si>
  <si>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</si>
  <si>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</si>
  <si>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</si>
  <si>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</si>
  <si>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</si>
  <si>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</si>
  <si>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</si>
  <si>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</si>
  <si>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</si>
  <si>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</si>
  <si>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</si>
  <si>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</si>
  <si>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</si>
  <si>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</si>
  <si>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</si>
  <si>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</si>
  <si>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</si>
  <si>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</si>
  <si>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</si>
  <si>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</si>
  <si>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</si>
  <si>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</si>
  <si>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</si>
  <si>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</si>
  <si>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</si>
  <si>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</si>
  <si>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</si>
  <si>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</si>
  <si>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</si>
  <si>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</si>
  <si>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</si>
  <si>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</si>
  <si>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</si>
  <si>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</si>
  <si>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</si>
  <si>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</si>
  <si>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</si>
  <si>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</si>
  <si>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</si>
  <si>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</si>
  <si>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</si>
  <si>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</si>
  <si>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</si>
  <si>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</si>
  <si>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</si>
  <si>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</si>
  <si>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</si>
  <si>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</si>
  <si>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</si>
  <si>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</si>
  <si>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</si>
  <si>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</si>
  <si>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</si>
  <si>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</si>
  <si>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</si>
  <si>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</si>
  <si>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</si>
  <si>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</si>
  <si>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</si>
  <si>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</si>
  <si>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</si>
  <si>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</si>
  <si>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</si>
  <si>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</si>
  <si>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</si>
  <si>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</si>
  <si>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</si>
  <si>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</si>
  <si>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</si>
  <si>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</si>
  <si>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</si>
  <si>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</si>
  <si>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</si>
  <si>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</si>
  <si>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</si>
  <si>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</si>
  <si>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</si>
  <si>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</si>
  <si>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</si>
  <si>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</si>
  <si>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</si>
  <si>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</si>
  <si>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</si>
  <si>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</si>
  <si>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</si>
  <si>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</si>
  <si>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</si>
  <si>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</si>
  <si>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</si>
  <si>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</si>
  <si>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</si>
  <si>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</si>
  <si>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</si>
  <si>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</si>
  <si>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</si>
  <si>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</si>
  <si>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</si>
  <si>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</si>
  <si>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</si>
  <si>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</si>
  <si>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</si>
  <si>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</si>
  <si>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</si>
  <si>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</si>
  <si>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</si>
  <si>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</si>
  <si>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</si>
  <si>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</si>
  <si>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</si>
  <si>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</si>
  <si>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</si>
  <si>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</si>
  <si>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</si>
  <si>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</si>
  <si>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</si>
  <si>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</si>
  <si>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</si>
  <si>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</si>
  <si>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</si>
  <si>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</si>
  <si>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</si>
  <si>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</si>
  <si>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</si>
  <si>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</si>
  <si>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</si>
  <si>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</si>
  <si>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</si>
  <si>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</si>
  <si>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</si>
  <si>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</si>
  <si>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</si>
  <si>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</si>
  <si>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</si>
  <si>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</si>
  <si>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</si>
  <si>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</si>
  <si>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</si>
  <si>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</si>
  <si>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</si>
  <si>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</si>
  <si>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</si>
  <si>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</si>
  <si>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</si>
  <si>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</si>
  <si>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</si>
  <si>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</si>
  <si>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</si>
  <si>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</si>
  <si>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</si>
  <si>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</si>
  <si>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</si>
  <si>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</si>
  <si>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</si>
  <si>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</si>
  <si>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</si>
  <si>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</si>
  <si>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</si>
  <si>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</si>
  <si>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</si>
  <si>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</si>
  <si>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</si>
  <si>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</si>
  <si>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</si>
  <si>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</si>
  <si>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</si>
  <si>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</si>
  <si>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</si>
  <si>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</si>
  <si>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</si>
  <si>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</si>
  <si>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</si>
  <si>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</si>
  <si>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</si>
  <si>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</si>
  <si>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</si>
  <si>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</si>
  <si>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</si>
  <si>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</si>
  <si>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</si>
  <si>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</si>
  <si>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</si>
  <si>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</si>
  <si>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</si>
  <si>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</si>
  <si>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</si>
  <si>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</si>
  <si>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</si>
  <si>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</si>
  <si>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</si>
  <si>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</si>
  <si>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</si>
  <si>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</si>
  <si>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</si>
  <si>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</si>
  <si>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</si>
  <si>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</si>
  <si>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</si>
  <si>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</si>
  <si>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</si>
  <si>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</si>
  <si>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</si>
  <si>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</si>
  <si>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</si>
  <si>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</si>
  <si>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</si>
  <si>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</si>
  <si>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</si>
  <si>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</si>
  <si>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</si>
  <si>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</si>
  <si>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</si>
  <si>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</si>
  <si>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</si>
  <si>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</si>
  <si>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</si>
  <si>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</si>
  <si>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</si>
  <si>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</si>
  <si>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</si>
  <si>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</si>
  <si>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</si>
  <si>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</si>
  <si>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</si>
  <si>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</si>
  <si>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</si>
  <si>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</si>
  <si>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</si>
  <si>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</si>
  <si>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</si>
  <si>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</si>
  <si>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</si>
  <si>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</si>
  <si>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</si>
  <si>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</si>
  <si>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</si>
  <si>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</si>
  <si>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</si>
  <si>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</si>
  <si>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</si>
  <si>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</si>
  <si>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</si>
  <si>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</si>
  <si>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</si>
  <si>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</si>
  <si>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</si>
  <si>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</si>
  <si>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</si>
  <si>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</si>
  <si>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</si>
  <si>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</si>
  <si>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</si>
  <si>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</si>
  <si>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</si>
  <si>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</si>
  <si>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</si>
  <si>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</si>
  <si>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</si>
  <si>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</si>
  <si>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</si>
  <si>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</si>
  <si>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</si>
  <si>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</si>
  <si>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</si>
  <si>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</si>
  <si>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</si>
  <si>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</si>
  <si>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</si>
  <si>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</si>
  <si>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</si>
  <si>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</si>
  <si>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</si>
  <si>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</si>
  <si>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</si>
  <si>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</si>
  <si>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</si>
  <si>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</si>
  <si>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</si>
  <si>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</si>
  <si>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</si>
  <si>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</si>
  <si>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</si>
  <si>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</si>
  <si>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</si>
  <si>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</si>
  <si>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</si>
  <si>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</si>
  <si>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</si>
  <si>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</si>
  <si>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</si>
  <si>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</si>
  <si>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</si>
  <si>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</si>
  <si>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</si>
  <si>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</si>
  <si>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</si>
  <si>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</si>
  <si>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</si>
  <si>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</si>
  <si>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</si>
  <si>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</si>
  <si>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</si>
  <si>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</si>
  <si>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</si>
  <si>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</si>
  <si>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</si>
  <si>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</si>
  <si>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</si>
  <si>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</si>
  <si>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</si>
  <si>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</si>
  <si>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</si>
  <si>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</si>
  <si>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</si>
  <si>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</si>
  <si>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</si>
  <si>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</si>
  <si>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</si>
  <si>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</si>
  <si>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</si>
  <si>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</si>
  <si>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</si>
  <si>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</si>
  <si>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</si>
  <si>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</si>
  <si>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</si>
  <si>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</si>
  <si>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</si>
  <si>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</si>
  <si>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</si>
  <si>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</si>
  <si>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</si>
  <si>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</si>
  <si>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</si>
  <si>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</si>
  <si>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</si>
  <si>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</si>
  <si>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</si>
  <si>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</si>
  <si>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</si>
  <si>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</si>
  <si>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</si>
  <si>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</si>
  <si>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</si>
  <si>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</si>
  <si>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</si>
  <si>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</si>
  <si>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</si>
  <si>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</si>
  <si>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</si>
  <si>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</si>
  <si>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</si>
  <si>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</si>
  <si>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</si>
  <si>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</si>
  <si>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</si>
  <si>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</si>
  <si>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</si>
  <si>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</si>
  <si>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</si>
  <si>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</si>
  <si>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</si>
  <si>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</si>
  <si>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</si>
  <si>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</si>
  <si>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</si>
  <si>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</si>
  <si>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</si>
  <si>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</si>
  <si>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</si>
  <si>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</si>
  <si>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</si>
  <si>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</si>
  <si>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</si>
  <si>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</si>
  <si>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</si>
  <si>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</si>
  <si>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</si>
  <si>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</si>
  <si>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</si>
  <si>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</si>
  <si>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</si>
  <si>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</si>
  <si>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</si>
  <si>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</si>
  <si>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</si>
  <si>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</si>
  <si>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</si>
  <si>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</si>
  <si>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</si>
  <si>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</si>
  <si>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</si>
  <si>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</si>
  <si>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</si>
  <si>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</si>
  <si>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</si>
  <si>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</si>
  <si>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</si>
  <si>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</si>
  <si>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</si>
  <si>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</si>
  <si>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</si>
  <si>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</si>
  <si>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</si>
  <si>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</si>
  <si>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</si>
  <si>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</si>
  <si>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</si>
  <si>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</si>
  <si>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</si>
  <si>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</si>
  <si>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</si>
  <si>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</si>
  <si>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</si>
  <si>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</si>
  <si>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</si>
  <si>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</si>
  <si>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</si>
  <si>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</si>
  <si>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</si>
  <si>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</si>
  <si>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</si>
  <si>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</si>
  <si>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</si>
  <si>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</si>
  <si>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</si>
  <si>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</si>
  <si>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</si>
  <si>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</si>
  <si>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</si>
  <si>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</si>
  <si>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</si>
  <si>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</si>
  <si>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</si>
  <si>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</si>
  <si>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</si>
  <si>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</si>
  <si>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</si>
  <si>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</si>
  <si>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</si>
  <si>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</si>
  <si>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</si>
  <si>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</si>
  <si>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</si>
  <si>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</si>
  <si>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</si>
  <si>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</si>
  <si>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</si>
  <si>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</si>
  <si>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</si>
  <si>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</si>
  <si>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</si>
  <si>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</si>
  <si>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</si>
  <si>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</si>
  <si>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</si>
  <si>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</si>
  <si>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</si>
  <si>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</si>
  <si>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</si>
  <si>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</si>
  <si>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</si>
  <si>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</si>
  <si>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</si>
  <si>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</si>
  <si>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</si>
  <si>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</si>
  <si>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</si>
  <si>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</si>
  <si>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</si>
  <si>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</si>
  <si>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</si>
  <si>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</si>
  <si>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</si>
  <si>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</si>
  <si>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</si>
  <si>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</si>
  <si>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</si>
  <si>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</si>
  <si>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</si>
  <si>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</si>
  <si>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</si>
  <si>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</si>
  <si>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</si>
  <si>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</si>
  <si>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</si>
  <si>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</si>
  <si>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</si>
  <si>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</si>
  <si>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</si>
  <si>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</si>
  <si>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</si>
  <si>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</si>
  <si>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</si>
  <si>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</si>
  <si>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</si>
  <si>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</si>
  <si>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</si>
  <si>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</si>
  <si>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</si>
  <si>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</si>
  <si>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</si>
  <si>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</si>
  <si>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</si>
  <si>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</si>
  <si>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</si>
  <si>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</si>
  <si>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</si>
  <si>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</si>
  <si>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</si>
  <si>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</si>
  <si>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</si>
  <si>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</si>
  <si>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</si>
  <si>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</si>
  <si>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</si>
  <si>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</si>
  <si>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</si>
  <si>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</si>
  <si>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</si>
  <si>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</si>
  <si>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</si>
  <si>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</si>
  <si>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</si>
  <si>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</si>
  <si>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</si>
  <si>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</si>
  <si>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</si>
  <si>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</si>
  <si>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</si>
  <si>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</si>
  <si>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</si>
  <si>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</si>
  <si>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</si>
  <si>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</si>
  <si>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</si>
  <si>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</si>
  <si>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</si>
  <si>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</si>
  <si>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</si>
  <si>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</si>
  <si>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</si>
  <si>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</si>
  <si>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</si>
  <si>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</si>
  <si>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</si>
  <si>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</si>
  <si>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</si>
  <si>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</si>
  <si>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</si>
  <si>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</si>
  <si>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</si>
  <si>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</si>
  <si>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</si>
  <si>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</si>
  <si>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</si>
  <si>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</si>
  <si>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</si>
  <si>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</si>
  <si>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</si>
  <si>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</si>
  <si>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</si>
  <si>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</si>
  <si>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</si>
  <si>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</si>
  <si>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</si>
  <si>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</si>
  <si>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</si>
  <si>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</si>
  <si>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</si>
  <si>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</si>
  <si>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</si>
  <si>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</si>
  <si>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</si>
  <si>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</si>
  <si>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</si>
  <si>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</si>
  <si>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</si>
  <si>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</si>
  <si>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</si>
  <si>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</si>
  <si>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</si>
  <si>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</si>
  <si>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</si>
  <si>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</si>
  <si>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</si>
  <si>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</si>
  <si>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</si>
  <si>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</si>
  <si>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</si>
  <si>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</si>
  <si>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</si>
  <si>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</si>
  <si>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</si>
  <si>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</si>
  <si>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</si>
  <si>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</si>
  <si>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</si>
  <si>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</si>
  <si>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</si>
  <si>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</si>
  <si>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</si>
  <si>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</si>
  <si>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</si>
  <si>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</si>
  <si>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</si>
  <si>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</si>
  <si>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</si>
  <si>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</si>
  <si>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</si>
  <si>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</si>
  <si>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</si>
  <si>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</si>
  <si>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</si>
  <si>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</si>
  <si>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</si>
  <si>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</si>
  <si>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</si>
  <si>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</si>
  <si>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</si>
  <si>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</si>
  <si>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</si>
  <si>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</si>
  <si>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</si>
  <si>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</si>
  <si>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</si>
  <si>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</si>
  <si>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</si>
  <si>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</si>
  <si>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</si>
  <si>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</si>
  <si>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</si>
  <si>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</si>
  <si>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</si>
  <si>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</si>
  <si>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</si>
  <si>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</si>
  <si>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</si>
  <si>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</si>
  <si>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</si>
  <si>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</si>
  <si>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</si>
  <si>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</si>
  <si>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</si>
  <si>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</si>
  <si>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</si>
  <si>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</si>
  <si>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</si>
  <si>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</si>
  <si>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</si>
  <si>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</si>
  <si>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</si>
  <si>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</si>
  <si>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</si>
  <si>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</si>
  <si>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</si>
  <si>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</si>
  <si>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</si>
  <si>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</si>
  <si>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</si>
  <si>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</si>
  <si>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</si>
  <si>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</si>
  <si>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</si>
  <si>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</si>
  <si>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</si>
  <si>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</si>
  <si>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</si>
  <si>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</si>
  <si>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</si>
  <si>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</si>
  <si>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</si>
  <si>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</si>
  <si>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</si>
  <si>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</si>
  <si>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</si>
  <si>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</si>
  <si>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</si>
  <si>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</si>
  <si>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</si>
  <si>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</si>
  <si>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</si>
  <si>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</si>
  <si>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</si>
  <si>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</si>
  <si>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</si>
  <si>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</si>
  <si>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</si>
  <si>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</si>
  <si>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</si>
  <si>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</si>
  <si>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</si>
  <si>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</si>
  <si>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</si>
  <si>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</si>
  <si>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</si>
  <si>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</si>
  <si>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</si>
  <si>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</si>
  <si>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</si>
  <si>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</si>
  <si>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</si>
  <si>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</si>
  <si>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</si>
  <si>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</si>
  <si>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</si>
  <si>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</si>
  <si>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</si>
  <si>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</si>
  <si>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</si>
  <si>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</si>
  <si>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</si>
  <si>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</si>
  <si>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</si>
  <si>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</si>
  <si>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</si>
  <si>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</si>
  <si>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</si>
  <si>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</si>
  <si>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</si>
  <si>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</si>
  <si>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</si>
  <si>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</si>
  <si>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</si>
  <si>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</si>
  <si>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</si>
  <si>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</si>
  <si>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</si>
  <si>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</si>
  <si>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</si>
  <si>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</si>
  <si>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</si>
  <si>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</si>
  <si>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</si>
  <si>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</si>
  <si>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</si>
  <si>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</si>
  <si>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</si>
  <si>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</si>
  <si>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</si>
  <si>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</si>
  <si>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</si>
  <si>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</si>
  <si>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</si>
  <si>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</si>
  <si>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</si>
  <si>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</si>
  <si>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</si>
  <si>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</si>
  <si>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</si>
  <si>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</si>
  <si>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</si>
  <si>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</si>
  <si>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</si>
  <si>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</si>
  <si>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</si>
  <si>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</si>
  <si>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</si>
  <si>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</si>
  <si>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</si>
  <si>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</si>
  <si>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</si>
  <si>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</si>
  <si>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</si>
  <si>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</si>
  <si>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</si>
  <si>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</si>
  <si>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</si>
  <si>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</si>
  <si>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</si>
  <si>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</si>
  <si>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</si>
  <si>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</si>
  <si>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</si>
  <si>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</si>
  <si>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</si>
  <si>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</si>
  <si>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</si>
  <si>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</si>
  <si>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</si>
  <si>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</si>
  <si>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</si>
  <si>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</si>
  <si>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</si>
  <si>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</si>
  <si>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</si>
  <si>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</si>
  <si>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</si>
  <si>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</si>
  <si>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</si>
  <si>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</si>
  <si>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</si>
  <si>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</si>
  <si>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</si>
  <si>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</si>
  <si>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</si>
  <si>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</si>
  <si>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</si>
  <si>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</si>
  <si>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</si>
  <si>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</si>
  <si>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</si>
  <si>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</si>
  <si>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</si>
  <si>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</si>
  <si>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</si>
  <si>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</si>
  <si>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</si>
  <si>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</si>
  <si>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</si>
  <si>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</si>
  <si>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</si>
  <si>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</si>
  <si>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</si>
  <si>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</si>
  <si>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</si>
  <si>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</si>
  <si>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</si>
  <si>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</si>
  <si>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</si>
  <si>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</si>
  <si>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</si>
  <si>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</si>
  <si>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</si>
  <si>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</si>
  <si>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</si>
  <si>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</si>
  <si>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</si>
  <si>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</si>
  <si>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</si>
  <si>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</si>
  <si>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</si>
  <si>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</si>
  <si>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</si>
  <si>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</si>
  <si>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</si>
  <si>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</si>
  <si>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</si>
  <si>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</si>
  <si>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</si>
  <si>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</si>
  <si>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</si>
  <si>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</si>
  <si>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</si>
  <si>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</si>
  <si>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</si>
  <si>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</si>
  <si>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</si>
  <si>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</si>
  <si>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</si>
  <si>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</si>
  <si>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</si>
  <si>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</si>
  <si>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</si>
  <si>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</si>
  <si>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</si>
  <si>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</si>
  <si>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</si>
  <si>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</si>
  <si>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</si>
  <si>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</si>
  <si>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</si>
  <si>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</si>
  <si>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</si>
  <si>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</si>
  <si>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</si>
  <si>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</si>
  <si>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</si>
  <si>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</si>
  <si>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</si>
  <si>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</si>
  <si>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</si>
  <si>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</si>
  <si>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</si>
  <si>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</si>
  <si>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</si>
  <si>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</si>
  <si>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</si>
  <si>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</si>
  <si>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</si>
  <si>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</si>
  <si>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</si>
  <si>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</si>
  <si>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</si>
  <si>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</si>
  <si>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</si>
  <si>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</si>
  <si>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</si>
  <si>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</si>
  <si>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</si>
  <si>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</si>
  <si>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</si>
  <si>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</si>
  <si>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</si>
  <si>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</si>
  <si>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</si>
  <si>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</si>
  <si>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</si>
  <si>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</si>
  <si>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</si>
  <si>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</si>
  <si>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</si>
  <si>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</si>
  <si>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</si>
  <si>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</si>
  <si>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</si>
  <si>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</si>
  <si>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</si>
  <si>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</si>
  <si>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</si>
  <si>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</si>
  <si>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</si>
  <si>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</si>
  <si>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</si>
  <si>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</si>
  <si>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</si>
  <si>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</si>
  <si>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</si>
  <si>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</si>
  <si>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</si>
  <si>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</si>
  <si>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</si>
  <si>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</si>
  <si>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</si>
  <si>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</si>
  <si>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</si>
  <si>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</si>
  <si>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</si>
  <si>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</si>
  <si>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</si>
  <si>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</si>
  <si>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</si>
  <si>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</si>
  <si>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</si>
  <si>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</si>
  <si>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</si>
  <si>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</si>
  <si>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</si>
  <si>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</si>
  <si>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</si>
  <si>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</si>
  <si>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</si>
  <si>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</si>
  <si>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</si>
  <si>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</si>
  <si>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</si>
  <si>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</si>
  <si>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</si>
  <si>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</si>
  <si>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</si>
  <si>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</si>
  <si>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</si>
  <si>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</si>
  <si>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</si>
  <si>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</si>
  <si>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</si>
  <si>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</si>
  <si>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</si>
  <si>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</si>
  <si>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</si>
  <si>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</si>
  <si>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</si>
  <si>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</si>
  <si>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</si>
  <si>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</si>
  <si>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</si>
  <si>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</si>
  <si>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</si>
  <si>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</si>
  <si>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</si>
  <si>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</si>
  <si>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</si>
  <si>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</si>
  <si>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</si>
  <si>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</si>
  <si>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</si>
  <si>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</si>
  <si>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</si>
  <si>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</si>
  <si>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</si>
  <si>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</si>
  <si>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</si>
  <si>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</si>
  <si>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</si>
  <si>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</si>
  <si>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</si>
  <si>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</si>
  <si>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</si>
  <si>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</si>
  <si>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</si>
  <si>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</si>
  <si>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</si>
  <si>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</si>
  <si>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</si>
  <si>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</si>
  <si>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</si>
  <si>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</si>
  <si>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</si>
  <si>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</si>
  <si>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</si>
  <si>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</si>
  <si>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</si>
  <si>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</si>
  <si>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</si>
  <si>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</si>
  <si>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</si>
  <si>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</si>
  <si>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</si>
  <si>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</si>
  <si>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</si>
  <si>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</si>
  <si>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</si>
  <si>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</si>
  <si>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</si>
  <si>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</si>
  <si>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</si>
  <si>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</si>
  <si>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</si>
  <si>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</si>
  <si>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</si>
  <si>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</si>
  <si>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</si>
  <si>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</si>
  <si>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</si>
  <si>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</si>
  <si>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</si>
  <si>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</si>
  <si>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</si>
  <si>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</si>
  <si>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</si>
  <si>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</si>
  <si>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</si>
  <si>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</si>
  <si>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</si>
  <si>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</si>
  <si>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</si>
  <si>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</si>
  <si>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</si>
  <si>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</si>
  <si>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</si>
  <si>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</si>
  <si>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</si>
  <si>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</si>
  <si>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</si>
  <si>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</si>
  <si>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</si>
  <si>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</si>
  <si>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</si>
  <si>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</si>
  <si>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</si>
  <si>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</si>
  <si>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</si>
  <si>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</si>
  <si>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</si>
  <si>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</si>
  <si>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</si>
  <si>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</si>
  <si>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</si>
  <si>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</si>
  <si>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</si>
  <si>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</si>
  <si>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</si>
  <si>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</si>
  <si>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</si>
  <si>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</si>
  <si>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</si>
  <si>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</si>
  <si>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</si>
  <si>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</si>
  <si>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</si>
  <si>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</si>
  <si>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</si>
  <si>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</si>
  <si>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</si>
  <si>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</si>
  <si>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</si>
  <si>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</si>
  <si>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</si>
  <si>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</si>
  <si>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</si>
  <si>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</si>
  <si>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</si>
  <si>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</si>
  <si>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</si>
  <si>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</si>
  <si>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</si>
  <si>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</si>
  <si>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</si>
  <si>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</si>
  <si>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</si>
  <si>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</si>
  <si>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</si>
  <si>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</si>
  <si>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</si>
  <si>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</si>
  <si>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</si>
  <si>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</si>
  <si>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</si>
  <si>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</si>
  <si>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</si>
  <si>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</si>
  <si>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</si>
  <si>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</si>
  <si>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</si>
  <si>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</si>
  <si>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</si>
  <si>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</si>
  <si>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</si>
  <si>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</si>
  <si>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</si>
  <si>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</si>
  <si>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</si>
  <si>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</si>
  <si>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</si>
  <si>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</si>
  <si>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</si>
  <si>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</si>
  <si>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</si>
  <si>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</si>
  <si>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</si>
  <si>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</si>
  <si>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</si>
  <si>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</si>
  <si>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</si>
  <si>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</si>
  <si>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</si>
  <si>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</si>
  <si>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</si>
  <si>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</si>
  <si>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</si>
  <si>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</si>
  <si>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</si>
  <si>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</si>
  <si>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</si>
  <si>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</si>
  <si>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</si>
  <si>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</si>
  <si>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</si>
  <si>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</si>
  <si>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</si>
  <si>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</si>
  <si>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</si>
  <si>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</si>
  <si>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</si>
  <si>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</si>
  <si>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</si>
  <si>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</si>
  <si>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</si>
  <si>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</si>
  <si>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</si>
  <si>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</si>
  <si>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</si>
  <si>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</si>
  <si>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</si>
  <si>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</si>
  <si>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</si>
  <si>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</si>
  <si>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</si>
  <si>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</si>
  <si>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</si>
  <si>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</si>
  <si>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</si>
  <si>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</si>
  <si>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</si>
  <si>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</si>
  <si>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</si>
  <si>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</si>
  <si>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</si>
  <si>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</si>
  <si>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</si>
  <si>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</si>
  <si>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</si>
  <si>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</si>
  <si>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</si>
  <si>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</si>
  <si>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</si>
  <si>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</si>
  <si>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</si>
  <si>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</si>
  <si>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</si>
  <si>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</si>
  <si>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</si>
  <si>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</si>
  <si>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</si>
  <si>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</si>
  <si>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</si>
  <si>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</si>
  <si>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</si>
  <si>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</si>
  <si>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</si>
  <si>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</si>
  <si>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</si>
  <si>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</si>
  <si>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</si>
  <si>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</si>
  <si>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</si>
  <si>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</si>
  <si>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</si>
  <si>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</si>
  <si>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</si>
  <si>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</si>
  <si>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</si>
  <si>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</si>
  <si>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</si>
  <si>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</si>
  <si>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</si>
  <si>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</si>
  <si>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</si>
  <si>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</si>
  <si>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</si>
  <si>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</si>
  <si>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</si>
  <si>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</si>
  <si>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</si>
  <si>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</si>
  <si>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</si>
  <si>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</si>
  <si>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</si>
  <si>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</si>
  <si>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</si>
  <si>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</si>
  <si>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</si>
  <si>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</si>
  <si>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</si>
  <si>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</si>
  <si>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</si>
  <si>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</si>
  <si>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</si>
  <si>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</si>
  <si>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</si>
  <si>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</si>
  <si>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</si>
  <si>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</si>
  <si>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</si>
  <si>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</si>
  <si>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</si>
  <si>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</si>
  <si>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</si>
  <si>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</si>
  <si>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</si>
  <si>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</si>
  <si>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</si>
  <si>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</si>
  <si>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</si>
  <si>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</si>
  <si>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</si>
  <si>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</si>
  <si>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</si>
  <si>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</si>
  <si>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</si>
  <si>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</si>
  <si>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</si>
  <si>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</si>
  <si>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</si>
  <si>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</si>
  <si>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</si>
  <si>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</si>
  <si>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</si>
  <si>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</si>
  <si>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</si>
  <si>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</si>
  <si>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</si>
  <si>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</si>
  <si>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</si>
  <si>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</si>
  <si>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</si>
  <si>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</si>
  <si>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</si>
  <si>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</si>
  <si>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</si>
  <si>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</si>
  <si>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</si>
  <si>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</si>
  <si>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</si>
  <si>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</si>
  <si>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</si>
  <si>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</si>
  <si>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</si>
  <si>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</si>
  <si>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</si>
  <si>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</si>
  <si>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</si>
  <si>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</si>
  <si>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</si>
  <si>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</si>
  <si>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</si>
  <si>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</si>
  <si>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</si>
  <si>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</si>
  <si>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</si>
  <si>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</si>
  <si>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</si>
  <si>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</si>
  <si>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</si>
  <si>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</si>
  <si>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</si>
  <si>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</si>
  <si>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</si>
  <si>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</si>
  <si>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</si>
  <si>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</si>
  <si>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</si>
  <si>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</si>
  <si>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</si>
  <si>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</si>
  <si>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</si>
  <si>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</si>
  <si>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</si>
  <si>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</si>
  <si>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</si>
  <si>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</si>
  <si>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</si>
  <si>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</si>
  <si>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</si>
  <si>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</si>
  <si>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</si>
  <si>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</si>
  <si>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</si>
  <si>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</si>
  <si>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</si>
  <si>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</si>
  <si>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</si>
  <si>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</si>
  <si>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</si>
  <si>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</si>
  <si>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</si>
  <si>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</si>
  <si>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</si>
  <si>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</si>
  <si>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</si>
  <si>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</si>
  <si>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</si>
  <si>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</si>
  <si>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</si>
  <si>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</si>
  <si>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</si>
  <si>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</si>
  <si>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</si>
  <si>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</si>
  <si>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</si>
  <si>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</si>
  <si>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</si>
  <si>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</si>
  <si>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</si>
  <si>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</si>
  <si>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</si>
  <si>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</si>
  <si>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</si>
  <si>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</si>
  <si>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</si>
  <si>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</si>
  <si>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</si>
  <si>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</si>
  <si>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</si>
  <si>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</si>
  <si>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</si>
  <si>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</si>
  <si>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</si>
  <si>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</si>
  <si>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</si>
  <si>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</si>
  <si>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</si>
  <si>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</si>
  <si>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</si>
  <si>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</si>
  <si>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</si>
  <si>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</si>
  <si>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</si>
  <si>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</si>
  <si>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</si>
  <si>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</si>
  <si>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</si>
  <si>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</si>
  <si>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</si>
  <si>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</si>
  <si>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</si>
  <si>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</si>
  <si>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</si>
  <si>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</si>
  <si>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</si>
  <si>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</si>
  <si>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</si>
  <si>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</si>
  <si>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</si>
  <si>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</si>
  <si>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</si>
  <si>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</si>
  <si>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</si>
  <si>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</si>
  <si>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</si>
  <si>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</si>
  <si>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</si>
  <si>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</si>
  <si>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</si>
  <si>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</si>
  <si>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</si>
  <si>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</si>
  <si>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</si>
  <si>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</si>
  <si>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</si>
  <si>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</si>
  <si>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</si>
  <si>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</si>
  <si>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</si>
  <si>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</si>
  <si>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</si>
  <si>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</si>
  <si>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</si>
  <si>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</si>
  <si>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</si>
  <si>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</si>
  <si>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</si>
  <si>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</si>
  <si>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</si>
  <si>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</si>
  <si>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</si>
  <si>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</si>
  <si>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</si>
  <si>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</si>
  <si>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</si>
  <si>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</si>
  <si>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</si>
  <si>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</si>
  <si>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</si>
  <si>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</si>
  <si>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</si>
  <si>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</si>
  <si>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</si>
  <si>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</si>
  <si>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</si>
  <si>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</si>
  <si>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</si>
  <si>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</si>
  <si>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</si>
  <si>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</si>
  <si>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</si>
  <si>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</si>
  <si>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</si>
  <si>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</si>
  <si>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</si>
  <si>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</si>
  <si>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</si>
  <si>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</si>
  <si>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</si>
  <si>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</si>
  <si>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</si>
  <si>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</si>
  <si>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</si>
  <si>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</si>
  <si>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</si>
  <si>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</si>
  <si>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</si>
  <si>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</si>
  <si>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</si>
  <si>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</si>
  <si>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</si>
  <si>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</si>
  <si>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</si>
  <si>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</si>
  <si>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</si>
  <si>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</si>
  <si>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</si>
  <si>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</si>
  <si>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</si>
  <si>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</si>
  <si>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</si>
  <si>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</si>
  <si>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</si>
  <si>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</si>
  <si>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</si>
  <si>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</si>
  <si>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</si>
  <si>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</si>
  <si>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</si>
  <si>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</si>
  <si>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</si>
  <si>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</si>
  <si>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</si>
  <si>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</si>
  <si>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</si>
  <si>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</si>
  <si>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</si>
  <si>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</si>
  <si>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</si>
  <si>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</si>
  <si>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</si>
  <si>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</si>
  <si>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</si>
  <si>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</si>
  <si>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</si>
  <si>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</si>
  <si>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</si>
  <si>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</si>
  <si>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</si>
  <si>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</si>
  <si>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</si>
  <si>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</si>
  <si>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</si>
  <si>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</si>
  <si>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</si>
  <si>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</si>
  <si>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</si>
  <si>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</si>
  <si>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</si>
  <si>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</si>
  <si>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</si>
  <si>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</si>
  <si>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</si>
  <si>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</si>
  <si>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</si>
  <si>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</si>
  <si>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</si>
  <si>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</si>
  <si>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</si>
  <si>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</si>
  <si>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</si>
  <si>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</si>
  <si>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</si>
  <si>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</si>
  <si>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</si>
  <si>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</si>
  <si>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</si>
  <si>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</si>
  <si>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</si>
  <si>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</si>
  <si>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</si>
  <si>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</si>
  <si>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</si>
  <si>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</si>
  <si>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</si>
  <si>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</si>
  <si>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</si>
  <si>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</si>
  <si>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</si>
  <si>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</si>
  <si>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</si>
  <si>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</si>
  <si>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</si>
  <si>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</si>
  <si>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</si>
  <si>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</si>
  <si>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</si>
  <si>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</si>
  <si>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</si>
  <si>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</si>
  <si>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</si>
  <si>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</si>
  <si>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</si>
  <si>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</si>
  <si>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</si>
  <si>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</si>
  <si>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</si>
  <si>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</si>
  <si>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</si>
  <si>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</si>
  <si>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</si>
  <si>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</si>
  <si>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</si>
  <si>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</si>
  <si>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</si>
  <si>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</si>
  <si>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</si>
  <si>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</si>
  <si>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</si>
  <si>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</si>
  <si>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</si>
  <si>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</si>
  <si>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</si>
  <si>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</si>
  <si>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</si>
  <si>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</si>
  <si>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</si>
  <si>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</si>
  <si>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</si>
  <si>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</si>
  <si>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</si>
  <si>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</si>
  <si>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</si>
  <si>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</si>
  <si>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</si>
  <si>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</si>
  <si>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</si>
  <si>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</si>
  <si>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</si>
  <si>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</si>
  <si>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</si>
  <si>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</si>
  <si>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</si>
  <si>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</si>
  <si>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</si>
  <si>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</si>
  <si>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</si>
  <si>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</si>
  <si>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</si>
  <si>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</si>
  <si>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</si>
  <si>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</si>
  <si>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</si>
  <si>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</si>
  <si>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</si>
  <si>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</si>
  <si>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</si>
  <si>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</si>
  <si>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</si>
  <si>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</si>
  <si>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</si>
  <si>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</si>
  <si>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</si>
  <si>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</si>
  <si>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</si>
  <si>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</si>
  <si>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</si>
  <si>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</si>
  <si>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</si>
  <si>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</si>
  <si>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</si>
  <si>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</si>
  <si>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</si>
  <si>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</si>
  <si>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</si>
  <si>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</si>
  <si>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</si>
  <si>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</si>
  <si>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</si>
  <si>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</si>
  <si>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</si>
  <si>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</si>
  <si>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</si>
  <si>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</si>
  <si>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</si>
  <si>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</si>
  <si>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</si>
  <si>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</si>
  <si>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</si>
  <si>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</si>
  <si>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</si>
  <si>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</si>
  <si>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</si>
  <si>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</si>
  <si>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</si>
  <si>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</si>
  <si>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</si>
  <si>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</si>
  <si>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</si>
  <si>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</si>
  <si>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</si>
  <si>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</si>
  <si>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</si>
  <si>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</si>
  <si>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</si>
  <si>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</si>
  <si>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</si>
  <si>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</si>
  <si>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</si>
  <si>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</si>
  <si>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</si>
  <si>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</si>
  <si>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</si>
  <si>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</si>
  <si>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</si>
  <si>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</si>
  <si>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</si>
  <si>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</si>
  <si>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</si>
  <si>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</si>
  <si>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</si>
  <si>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</si>
  <si>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</si>
  <si>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</si>
  <si>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</si>
  <si>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</si>
  <si>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</si>
  <si>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</si>
  <si>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</si>
  <si>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</si>
  <si>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</si>
  <si>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</si>
  <si>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</si>
  <si>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</si>
  <si>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</si>
  <si>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</si>
  <si>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</si>
  <si>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</si>
  <si>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</si>
  <si>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</si>
  <si>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</si>
  <si>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</si>
  <si>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</si>
  <si>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</si>
  <si>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</si>
  <si>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</si>
  <si>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</si>
  <si>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</si>
  <si>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</si>
  <si>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</si>
  <si>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</si>
  <si>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</si>
  <si>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</si>
  <si>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</si>
  <si>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</si>
  <si>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</si>
  <si>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</si>
  <si>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</si>
  <si>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</si>
  <si>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</si>
  <si>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</si>
  <si>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</si>
  <si>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</si>
  <si>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</si>
  <si>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</si>
  <si>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</si>
  <si>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</si>
  <si>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</si>
  <si>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</si>
  <si>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</si>
  <si>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</si>
  <si>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</si>
  <si>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</si>
  <si>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</si>
  <si>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</si>
  <si>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</si>
  <si>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</si>
  <si>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</si>
  <si>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</si>
  <si>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</si>
  <si>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</si>
  <si>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</si>
  <si>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</si>
  <si>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</si>
  <si>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</si>
  <si>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</si>
  <si>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</si>
  <si>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</si>
  <si>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</si>
  <si>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</si>
  <si>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</si>
  <si>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</si>
  <si>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</si>
  <si>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</si>
  <si>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</si>
  <si>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</si>
  <si>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</si>
  <si>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</si>
  <si>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</si>
  <si>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</si>
  <si>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</si>
  <si>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</si>
  <si>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</si>
  <si>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</si>
  <si>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</si>
  <si>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</si>
  <si>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</si>
  <si>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</si>
  <si>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</si>
  <si>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</si>
  <si>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</si>
  <si>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</si>
  <si>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</si>
  <si>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</si>
  <si>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</si>
  <si>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</si>
  <si>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</si>
  <si>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</si>
  <si>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</si>
  <si>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</si>
  <si>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</si>
  <si>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</si>
  <si>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</si>
  <si>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</si>
  <si>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</si>
  <si>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</si>
  <si>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</si>
  <si>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</si>
  <si>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</si>
  <si>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</si>
  <si>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</si>
  <si>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</si>
  <si>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</si>
  <si>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</si>
  <si>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</si>
  <si>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</si>
  <si>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</si>
  <si>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</si>
  <si>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</si>
  <si>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</si>
  <si>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</si>
  <si>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</si>
  <si>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</si>
  <si>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</si>
  <si>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</si>
  <si>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</si>
  <si>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</si>
  <si>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</si>
  <si>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</si>
  <si>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</si>
  <si>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</si>
  <si>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</si>
  <si>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</si>
  <si>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</si>
  <si>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</si>
  <si>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</si>
  <si>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</si>
  <si>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</si>
  <si>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</si>
  <si>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</si>
  <si>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</si>
  <si>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</si>
  <si>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</si>
  <si>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</si>
  <si>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</si>
  <si>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</si>
  <si>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</si>
  <si>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</si>
  <si>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</si>
  <si>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</si>
  <si>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</si>
  <si>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</si>
  <si>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</si>
  <si>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</si>
  <si>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</si>
  <si>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</si>
  <si>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</si>
  <si>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</si>
  <si>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</si>
  <si>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</si>
  <si>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</si>
  <si>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</si>
  <si>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</si>
  <si>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</si>
  <si>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</si>
  <si>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</si>
  <si>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</si>
  <si>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</si>
  <si>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</si>
  <si>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</si>
  <si>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</si>
  <si>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</si>
  <si>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</si>
  <si>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</si>
  <si>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</si>
  <si>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</si>
  <si>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</si>
  <si>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</si>
  <si>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</si>
  <si>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</si>
  <si>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</si>
  <si>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</si>
  <si>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</si>
  <si>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</si>
  <si>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</si>
  <si>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</si>
  <si>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</si>
  <si>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</si>
  <si>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</si>
  <si>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</si>
  <si>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</si>
  <si>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</si>
  <si>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</si>
  <si>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</si>
  <si>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</si>
  <si>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</si>
  <si>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</si>
  <si>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</si>
  <si>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</si>
  <si>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</si>
  <si>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</si>
  <si>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</si>
  <si>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</si>
  <si>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</si>
  <si>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</si>
  <si>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</si>
  <si>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</si>
  <si>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</si>
  <si>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</si>
  <si>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</si>
  <si>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</si>
  <si>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</si>
  <si>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</si>
  <si>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</si>
  <si>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</si>
  <si>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</si>
  <si>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</si>
  <si>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</si>
  <si>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</si>
  <si>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</si>
  <si>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</si>
  <si>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</si>
  <si>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</si>
  <si>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</si>
  <si>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</si>
  <si>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</si>
  <si>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</si>
  <si>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</si>
  <si>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</si>
  <si>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</si>
  <si>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</si>
  <si>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</si>
  <si>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</si>
  <si>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</si>
  <si>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</si>
  <si>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</si>
  <si>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</si>
  <si>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</si>
  <si>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</si>
  <si>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</si>
  <si>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</si>
  <si>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</si>
  <si>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</si>
  <si>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</si>
  <si>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</si>
  <si>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</si>
  <si>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</si>
  <si>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</si>
  <si>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</si>
  <si>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</si>
  <si>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</si>
  <si>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</si>
  <si>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</si>
  <si>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</si>
  <si>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</si>
  <si>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</si>
  <si>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</si>
  <si>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</si>
  <si>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</si>
  <si>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</si>
  <si>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</si>
  <si>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</si>
  <si>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</si>
  <si>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</si>
  <si>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</si>
  <si>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</si>
  <si>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</si>
  <si>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</si>
  <si>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</si>
  <si>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</si>
  <si>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</si>
  <si>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</si>
  <si>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</si>
  <si>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</si>
  <si>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</si>
  <si>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</si>
  <si>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</si>
  <si>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</si>
  <si>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</si>
  <si>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</si>
  <si>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</si>
  <si>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</si>
  <si>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</si>
  <si>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</si>
  <si>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</si>
  <si>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</si>
  <si>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</si>
  <si>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</si>
  <si>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</si>
  <si>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</si>
  <si>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</si>
  <si>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</si>
  <si>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</si>
  <si>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</si>
  <si>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</si>
  <si>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</si>
  <si>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</si>
  <si>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</si>
  <si>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</si>
  <si>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</si>
  <si>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</si>
  <si>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</si>
  <si>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</si>
  <si>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</si>
  <si>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</si>
  <si>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</si>
  <si>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</si>
  <si>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</si>
  <si>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</si>
  <si>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</si>
  <si>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</si>
  <si>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</si>
  <si>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</si>
  <si>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</si>
  <si>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</si>
  <si>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</si>
  <si>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</si>
  <si>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</si>
  <si>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</si>
  <si>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</si>
  <si>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</si>
  <si>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</si>
  <si>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</si>
  <si>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</si>
  <si>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</si>
  <si>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</si>
  <si>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</si>
  <si>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</si>
  <si>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</si>
  <si>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</si>
  <si>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</si>
  <si>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</si>
  <si>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</si>
  <si>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</si>
  <si>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</si>
  <si>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</si>
  <si>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</si>
  <si>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</si>
  <si>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</si>
  <si>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</si>
  <si>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</si>
  <si>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</si>
  <si>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</si>
  <si>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</si>
  <si>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</si>
  <si>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</si>
  <si>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</si>
  <si>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</si>
  <si>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</si>
  <si>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</si>
  <si>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</si>
  <si>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</si>
  <si>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</si>
  <si>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</si>
  <si>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</si>
  <si>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</si>
  <si>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</si>
  <si>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</si>
  <si>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</si>
  <si>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</si>
  <si>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</si>
  <si>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</si>
  <si>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</si>
  <si>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</si>
  <si>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</si>
  <si>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</si>
  <si>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</si>
  <si>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</si>
  <si>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</si>
  <si>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</si>
  <si>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</si>
  <si>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</si>
  <si>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</si>
  <si>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</si>
  <si>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</si>
  <si>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</si>
  <si>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</si>
  <si>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</si>
  <si>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</si>
  <si>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</si>
  <si>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</si>
  <si>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</si>
  <si>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</si>
  <si>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</si>
  <si>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</si>
  <si>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</si>
  <si>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</si>
  <si>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</si>
  <si>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</si>
  <si>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</si>
  <si>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</si>
  <si>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</si>
  <si>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</si>
  <si>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</si>
  <si>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</si>
  <si>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</si>
  <si>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</si>
  <si>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</si>
  <si>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</si>
  <si>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</si>
  <si>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</si>
  <si>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</si>
  <si>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</si>
  <si>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</si>
  <si>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</si>
  <si>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</si>
  <si>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</si>
  <si>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</si>
  <si>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</si>
  <si>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</si>
  <si>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</si>
  <si>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</si>
  <si>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</si>
  <si>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</si>
  <si>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</si>
  <si>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</si>
  <si>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</si>
  <si>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</si>
  <si>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</si>
  <si>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</si>
  <si>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</si>
  <si>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</si>
  <si>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</si>
  <si>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</si>
  <si>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</si>
  <si>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</si>
  <si>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</si>
  <si>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</si>
  <si>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</si>
  <si>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</si>
  <si>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</si>
  <si>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</si>
  <si>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</si>
  <si>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</si>
  <si>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</si>
  <si>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</si>
  <si>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</si>
  <si>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</si>
  <si>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</si>
  <si>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</si>
  <si>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</si>
  <si>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</si>
  <si>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</si>
  <si>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</si>
  <si>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</si>
  <si>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</si>
  <si>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</si>
  <si>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</si>
  <si>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</si>
  <si>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</si>
  <si>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</si>
  <si>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</si>
  <si>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</si>
  <si>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</si>
  <si>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</si>
  <si>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</si>
  <si>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</si>
  <si>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</si>
  <si>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</si>
  <si>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</si>
  <si>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</si>
  <si>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</si>
  <si>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</si>
  <si>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</si>
  <si>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</si>
  <si>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</si>
  <si>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</si>
  <si>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</si>
  <si>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</si>
  <si>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</si>
  <si>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</si>
  <si>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</si>
  <si>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</si>
  <si>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</si>
  <si>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</si>
  <si>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</si>
  <si>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</si>
  <si>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</si>
  <si>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</si>
  <si>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</si>
  <si>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</si>
  <si>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</si>
  <si>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</si>
  <si>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</si>
  <si>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</si>
  <si>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</si>
  <si>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</si>
  <si>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</si>
  <si>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</si>
  <si>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</si>
  <si>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</si>
  <si>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</si>
  <si>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</si>
  <si>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</si>
  <si>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</si>
  <si>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</si>
  <si>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</si>
  <si>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</si>
  <si>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</si>
  <si>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</si>
  <si>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</si>
  <si>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</si>
  <si>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</si>
  <si>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</si>
  <si>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</si>
  <si>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</si>
  <si>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</si>
  <si>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</si>
  <si>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</si>
  <si>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</si>
  <si>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</si>
  <si>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</si>
  <si>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</si>
  <si>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</si>
  <si>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</si>
  <si>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</si>
  <si>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</si>
  <si>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</si>
  <si>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</si>
  <si>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</si>
  <si>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</si>
  <si>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</si>
  <si>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</si>
  <si>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</si>
  <si>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</si>
  <si>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</si>
  <si>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</si>
  <si>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</si>
  <si>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</si>
  <si>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</si>
  <si>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</si>
  <si>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</si>
  <si>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</si>
  <si>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</si>
  <si>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</si>
  <si>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</si>
  <si>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</si>
  <si>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</si>
  <si>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</si>
  <si>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</si>
  <si>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</si>
  <si>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</si>
  <si>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</si>
  <si>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</si>
  <si>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</si>
  <si>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</si>
  <si>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</si>
  <si>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</si>
  <si>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</si>
  <si>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</si>
  <si>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</si>
  <si>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</si>
  <si>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</si>
  <si>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</si>
  <si>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</si>
  <si>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</si>
  <si>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</si>
  <si>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</si>
  <si>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</si>
  <si>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</si>
  <si>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</si>
  <si>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</si>
  <si>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</si>
  <si>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</si>
  <si>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</si>
  <si>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</si>
  <si>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</si>
  <si>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</si>
  <si>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</si>
  <si>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</si>
  <si>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</si>
  <si>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</si>
  <si>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</si>
  <si>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</si>
  <si>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</si>
  <si>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</si>
  <si>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</si>
  <si>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</si>
  <si>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</si>
  <si>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</si>
  <si>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</si>
  <si>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</si>
  <si>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</si>
  <si>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</si>
  <si>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</si>
  <si>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</si>
  <si>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</si>
  <si>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</si>
  <si>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</si>
  <si>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</si>
  <si>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</si>
  <si>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</si>
  <si>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</si>
  <si>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</si>
  <si>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</si>
  <si>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</si>
  <si>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</si>
  <si>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</si>
  <si>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</si>
  <si>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</si>
  <si>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</si>
  <si>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</si>
  <si>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</si>
  <si>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</si>
  <si>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</si>
  <si>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</si>
  <si>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</si>
  <si>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</si>
  <si>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</si>
  <si>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</si>
  <si>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</si>
  <si>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</si>
  <si>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</si>
  <si>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</si>
  <si>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</si>
  <si>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</si>
  <si>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</si>
  <si>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</si>
  <si>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</si>
  <si>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</si>
  <si>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</si>
  <si>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</si>
  <si>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</si>
  <si>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</si>
  <si>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</si>
  <si>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</si>
  <si>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</si>
  <si>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</si>
  <si>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</si>
  <si>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</si>
  <si>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</si>
  <si>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</si>
  <si>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</si>
  <si>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</si>
  <si>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</si>
  <si>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</si>
  <si>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</si>
  <si>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</si>
  <si>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</si>
  <si>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</si>
  <si>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</si>
  <si>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</si>
  <si>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</si>
  <si>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</si>
  <si>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</si>
  <si>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</si>
  <si>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</si>
  <si>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</si>
  <si>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</si>
  <si>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</si>
  <si>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</si>
  <si>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</si>
  <si>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</si>
  <si>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</si>
  <si>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</si>
  <si>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</si>
  <si>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</si>
  <si>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</si>
  <si>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</si>
  <si>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</si>
  <si>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</si>
  <si>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</si>
  <si>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</si>
  <si>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</si>
  <si>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</si>
  <si>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</si>
  <si>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</si>
  <si>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</si>
  <si>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</si>
  <si>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</si>
  <si>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</si>
  <si>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</si>
  <si>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</si>
  <si>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</si>
  <si>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</si>
  <si>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</si>
  <si>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</si>
  <si>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</si>
  <si>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</si>
  <si>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</si>
  <si>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</si>
  <si>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</si>
  <si>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</si>
  <si>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</si>
  <si>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</si>
  <si>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</si>
  <si>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</si>
  <si>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</si>
  <si>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</si>
  <si>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</si>
  <si>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</si>
  <si>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</si>
  <si>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</si>
  <si>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</si>
  <si>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</si>
  <si>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</si>
  <si>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</si>
  <si>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</si>
  <si>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</si>
  <si>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</si>
  <si>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</si>
  <si>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</si>
  <si>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</si>
  <si>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</si>
  <si>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</si>
  <si>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</si>
  <si>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</si>
  <si>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</si>
  <si>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</si>
  <si>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</si>
  <si>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</si>
  <si>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</si>
  <si>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</si>
  <si>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</si>
  <si>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</si>
  <si>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</si>
  <si>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</si>
  <si>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</si>
  <si>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</si>
  <si>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</si>
  <si>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</si>
  <si>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</si>
  <si>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</si>
  <si>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</si>
  <si>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</si>
  <si>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</si>
  <si>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</si>
  <si>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</si>
  <si>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</si>
  <si>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</si>
  <si>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</si>
  <si>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</si>
  <si>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</si>
  <si>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</si>
  <si>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</si>
  <si>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</si>
  <si>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</si>
  <si>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</si>
  <si>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</si>
  <si>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</si>
  <si>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</si>
  <si>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</si>
  <si>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</si>
  <si>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</si>
  <si>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</si>
  <si>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</si>
  <si>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</si>
  <si>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</si>
  <si>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</si>
  <si>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04144724</t>
  </si>
  <si>
    <t>080884061</t>
  </si>
  <si>
    <t>87815496618</t>
  </si>
  <si>
    <t>ODVODNJA SAMOBOR d.o.o.</t>
  </si>
  <si>
    <t>SAMOBOR</t>
  </si>
  <si>
    <t>ULICA 151. SAMOBORSKE BRIGADE HV 1</t>
  </si>
  <si>
    <t>nada.kos@odvodnjasamobor.hr</t>
  </si>
  <si>
    <t>KOS NADICA</t>
  </si>
  <si>
    <t>(01) 5605 376</t>
  </si>
  <si>
    <t>(01) 5605 371</t>
  </si>
  <si>
    <t>JELIĆ KREŠIMIR</t>
  </si>
  <si>
    <t>info@odvodnjasamobor.hr</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</si>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</sst>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4142630.82</v>
      </c>
      <c r="I3" s="27">
        <f>ABS(ROUND(J3,0)-J3)+ABS(ROUND(K3,0)-K3)</f>
        <v>0</v>
      </c>
      <c r="J3" s="75">
        <f>Bilanca!K11</f>
        <v>67943047</v>
      </c>
      <c r="K3" s="76">
        <f>Bilanca!L11</f>
        <v>69594247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04144724</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080884061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87815496618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ODVODNJA SAMOBOR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10430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SAMOBOR</v>
      </c>
      <c r="C11" s="27"/>
      <c r="D11" s="27" t="s">
        <v>2272</v>
      </c>
      <c r="E11" s="27">
        <v>1</v>
      </c>
      <c r="F11" s="27">
        <f>Bilanca!I19</f>
        <v>10</v>
      </c>
      <c r="G11" s="27">
        <f>IF(Bilanca!J19=0,"",Bilanca!J19)</f>
      </c>
      <c r="H11" s="224">
        <f t="shared" si="1"/>
        <v>20713154.099999998</v>
      </c>
      <c r="I11" s="27">
        <f t="shared" si="2"/>
        <v>0</v>
      </c>
      <c r="J11" s="75">
        <f>Bilanca!K19</f>
        <v>67943047</v>
      </c>
      <c r="K11" s="76">
        <f>Bilanca!L19</f>
        <v>69594247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ULICA 151. SAMOBORSKE BRIGADE HV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info@odvodnjasamobor.hr</v>
      </c>
      <c r="C13" s="27"/>
      <c r="D13" s="27" t="s">
        <v>2272</v>
      </c>
      <c r="E13" s="27">
        <v>1</v>
      </c>
      <c r="F13" s="27">
        <f>Bilanca!I21</f>
        <v>12</v>
      </c>
      <c r="G13" s="27">
        <f>IF(Bilanca!J21=0,"",Bilanca!J21)</f>
      </c>
      <c r="H13" s="224">
        <f t="shared" si="1"/>
        <v>20014984.68</v>
      </c>
      <c r="I13" s="27">
        <f t="shared" si="2"/>
        <v>0</v>
      </c>
      <c r="J13" s="75">
        <f>Bilanca!K21</f>
        <v>54716903</v>
      </c>
      <c r="K13" s="76">
        <f>Bilanca!L21</f>
        <v>56037318</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45931.6</v>
      </c>
      <c r="I14" s="77">
        <f t="shared" si="2"/>
        <v>0</v>
      </c>
      <c r="J14" s="75">
        <f>Bilanca!K22</f>
        <v>4286</v>
      </c>
      <c r="K14" s="76">
        <f>Bilanca!L22</f>
        <v>174517</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01</v>
      </c>
      <c r="C15" s="27"/>
      <c r="D15" s="27" t="s">
        <v>2272</v>
      </c>
      <c r="E15" s="27">
        <v>1</v>
      </c>
      <c r="F15" s="27">
        <f>Bilanca!I23</f>
        <v>14</v>
      </c>
      <c r="G15" s="27">
        <f>IF(Bilanca!J23=0,"",Bilanca!J23)</f>
      </c>
      <c r="H15" s="224">
        <f t="shared" si="1"/>
        <v>111707.68</v>
      </c>
      <c r="I15" s="27">
        <f t="shared" si="2"/>
        <v>0</v>
      </c>
      <c r="J15" s="75">
        <f>Bilanca!K23</f>
        <v>0</v>
      </c>
      <c r="K15" s="76">
        <f>Bilanca!L23</f>
        <v>398956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380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3700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6662090.9</v>
      </c>
      <c r="I18" s="77">
        <f t="shared" si="2"/>
        <v>0</v>
      </c>
      <c r="J18" s="75">
        <f>Bilanca!K26</f>
        <v>13221858</v>
      </c>
      <c r="K18" s="76">
        <f>Bilanca!L26</f>
        <v>12983456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30</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0</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29</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2956162.3</v>
      </c>
      <c r="I35" s="27">
        <f t="shared" si="2"/>
        <v>0</v>
      </c>
      <c r="J35" s="75">
        <f>Bilanca!K43</f>
        <v>2510445</v>
      </c>
      <c r="K35" s="76">
        <f>Bilanca!L43</f>
        <v>3092075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KOS NADICA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 5605 376</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 5605 371</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nada.kos@odvodnjasamobor.hr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JELIĆ KREŠIMIR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3351903.75</v>
      </c>
      <c r="I44" s="77">
        <f t="shared" si="2"/>
        <v>0</v>
      </c>
      <c r="J44" s="75">
        <f>Bilanca!K52</f>
        <v>2510445</v>
      </c>
      <c r="K44" s="76">
        <f>Bilanca!L52</f>
        <v>2642340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3405235.95</v>
      </c>
      <c r="I46" s="77">
        <f t="shared" si="4"/>
        <v>0</v>
      </c>
      <c r="J46" s="75">
        <f>Bilanca!K54</f>
        <v>2510445</v>
      </c>
      <c r="K46" s="76">
        <f>Bilanca!L54</f>
        <v>2528373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73247.04000000001</v>
      </c>
      <c r="I49" s="27">
        <f t="shared" si="4"/>
        <v>0</v>
      </c>
      <c r="J49" s="75">
        <f>Bilanca!K57</f>
        <v>0</v>
      </c>
      <c r="K49" s="76">
        <f>Bilanca!L57</f>
        <v>76299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36914.64</v>
      </c>
      <c r="I50" s="77">
        <f t="shared" si="4"/>
        <v>0</v>
      </c>
      <c r="J50" s="75">
        <f>Bilanca!K58</f>
        <v>0</v>
      </c>
      <c r="K50" s="76">
        <f>Bilanca!L58</f>
        <v>37668</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1668919833.0900002</v>
      </c>
      <c r="C59" s="27"/>
      <c r="D59" s="27" t="s">
        <v>2272</v>
      </c>
      <c r="E59" s="27">
        <v>1</v>
      </c>
      <c r="F59" s="27">
        <f>Bilanca!I67</f>
        <v>58</v>
      </c>
      <c r="G59" s="27">
        <f>IF(Bilanca!J67=0,"",Bilanca!J67)</f>
      </c>
      <c r="H59" s="224">
        <f t="shared" si="3"/>
        <v>521692.60000000003</v>
      </c>
      <c r="I59" s="27">
        <f t="shared" si="4"/>
        <v>0</v>
      </c>
      <c r="J59" s="75">
        <f>Bilanca!K67</f>
        <v>0</v>
      </c>
      <c r="K59" s="76">
        <f>Bilanca!L67</f>
        <v>449735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17747.2</v>
      </c>
      <c r="I60" s="77">
        <f t="shared" si="4"/>
        <v>0</v>
      </c>
      <c r="J60" s="75">
        <f>Bilanca!K68</f>
        <v>0</v>
      </c>
      <c r="K60" s="76">
        <f>Bilanca!L68</f>
        <v>15040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129513729.60000001</v>
      </c>
      <c r="I61" s="27">
        <f>ABS(ROUND(J61,0)-J61)+ABS(ROUND(K61,0)-K61)</f>
        <v>0</v>
      </c>
      <c r="J61" s="75">
        <f>Bilanca!K69</f>
        <v>70453492</v>
      </c>
      <c r="K61" s="76">
        <f>Bilanca!L69</f>
        <v>72701362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207168.19999999998</v>
      </c>
      <c r="I62" s="77">
        <f>ABS(ROUND(J62,0)-J62)+ABS(ROUND(K62,0)-K62)</f>
        <v>0</v>
      </c>
      <c r="J62" s="75">
        <f>Bilanca!K70</f>
        <v>0</v>
      </c>
      <c r="K62" s="76">
        <f>Bilanca!L70</f>
        <v>169810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2899403.96</v>
      </c>
      <c r="I63" s="27">
        <f>ABS(ROUND(J63,0)-J63)+ABS(ROUND(K63,0)-K63)</f>
        <v>0</v>
      </c>
      <c r="J63" s="75">
        <f>Bilanca!K72</f>
        <v>1550000</v>
      </c>
      <c r="K63" s="76">
        <f>Bilanca!L72</f>
        <v>1563229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2929500</v>
      </c>
      <c r="I64" s="27">
        <f>ABS(ROUND(J64,0)-J64)+ABS(ROUND(K64,0)-K64)</f>
        <v>0</v>
      </c>
      <c r="J64" s="75">
        <f>Bilanca!K73</f>
        <v>1550000</v>
      </c>
      <c r="K64" s="76">
        <f>Bilanca!L73</f>
        <v>1550000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19843.5</v>
      </c>
      <c r="I76" s="27">
        <f t="shared" si="6"/>
        <v>0</v>
      </c>
      <c r="J76" s="75">
        <f>Bilanca!K85</f>
        <v>0</v>
      </c>
      <c r="K76" s="76">
        <f>Bilanca!L85</f>
        <v>13229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20108.079999999998</v>
      </c>
      <c r="I77" s="27">
        <f t="shared" si="6"/>
        <v>0</v>
      </c>
      <c r="J77" s="75">
        <f>Bilanca!K86</f>
        <v>0</v>
      </c>
      <c r="K77" s="76">
        <f>Bilanca!L86</f>
        <v>13229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2596773.9</v>
      </c>
      <c r="I94" s="27">
        <f t="shared" si="6"/>
        <v>0</v>
      </c>
      <c r="J94" s="75">
        <f>Bilanca!K103</f>
        <v>349494</v>
      </c>
      <c r="K94" s="76">
        <f>Bilanca!L103</f>
        <v>1221368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1015862.12</v>
      </c>
      <c r="I99" s="27">
        <f aca="true" t="shared" si="9" ref="I99:I107">ABS(ROUND(J99,0)-J99)+ABS(ROUND(K99,0)-K99)</f>
        <v>0</v>
      </c>
      <c r="J99" s="75">
        <f>Bilanca!K108</f>
        <v>0</v>
      </c>
      <c r="K99" s="76">
        <f>Bilanca!L108</f>
        <v>518297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546008.02</v>
      </c>
      <c r="I102" s="27">
        <f t="shared" si="9"/>
        <v>0</v>
      </c>
      <c r="J102" s="75">
        <f>Bilanca!K111</f>
        <v>0</v>
      </c>
      <c r="K102" s="76">
        <f>Bilanca!L111</f>
        <v>270301</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18737.399999999998</v>
      </c>
      <c r="I103" s="27">
        <f t="shared" si="9"/>
        <v>0</v>
      </c>
      <c r="J103" s="75">
        <f>Bilanca!K112</f>
        <v>0</v>
      </c>
      <c r="K103" s="76">
        <f>Bilanca!L112</f>
        <v>9185</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1256497.2000000002</v>
      </c>
      <c r="I106" s="27">
        <f t="shared" si="9"/>
        <v>0</v>
      </c>
      <c r="J106" s="75">
        <f>Bilanca!K115</f>
        <v>349494</v>
      </c>
      <c r="K106" s="76">
        <f>Bilanca!L115</f>
        <v>423585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220890779.68</v>
      </c>
      <c r="I107" s="27">
        <f t="shared" si="9"/>
        <v>0</v>
      </c>
      <c r="J107" s="75">
        <f>Bilanca!K116</f>
        <v>68553998</v>
      </c>
      <c r="K107" s="76">
        <f>Bilanca!L116</f>
        <v>69916765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230966151.12</v>
      </c>
      <c r="I108" s="27">
        <f aca="true" t="shared" si="11" ref="I108:I113">ABS(ROUND(J108,0)-J108)+ABS(ROUND(K108,0)-K108)</f>
        <v>0</v>
      </c>
      <c r="J108" s="75">
        <f>Bilanca!K117</f>
        <v>70453492</v>
      </c>
      <c r="K108" s="76">
        <f>Bilanca!L117</f>
        <v>72701362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366789.6</v>
      </c>
      <c r="I109" s="27">
        <f t="shared" si="11"/>
        <v>0</v>
      </c>
      <c r="J109" s="75">
        <f>Bilanca!K118</f>
        <v>0</v>
      </c>
      <c r="K109" s="76">
        <f>Bilanca!L118</f>
        <v>169810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17733090.27</v>
      </c>
      <c r="I112" s="27">
        <f t="shared" si="11"/>
        <v>0</v>
      </c>
      <c r="J112" s="75">
        <f>RDG!K9</f>
        <v>1</v>
      </c>
      <c r="K112" s="76">
        <f>RDG!L9</f>
        <v>7987878</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9798106.08</v>
      </c>
      <c r="I113" s="27">
        <f t="shared" si="11"/>
        <v>0</v>
      </c>
      <c r="J113" s="75">
        <f>RDG!K10</f>
        <v>1</v>
      </c>
      <c r="K113" s="76">
        <f>RDG!L10</f>
        <v>4374154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8167016.239999999</v>
      </c>
      <c r="I114" s="27">
        <f aca="true" t="shared" si="13" ref="I114:I158">ABS(ROUND(J114,0)-J114)+ABS(ROUND(K114,0)-K114)</f>
        <v>0</v>
      </c>
      <c r="J114" s="75">
        <f>RDG!K11</f>
        <v>0</v>
      </c>
      <c r="K114" s="76">
        <f>RDG!L11</f>
        <v>3613724</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18194558.46</v>
      </c>
      <c r="I115" s="27">
        <f t="shared" si="13"/>
        <v>0</v>
      </c>
      <c r="J115" s="75">
        <f>RDG!K12</f>
        <v>1</v>
      </c>
      <c r="K115" s="76">
        <f>RDG!L12</f>
        <v>7980069</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5594947.960000001</v>
      </c>
      <c r="I117" s="27">
        <f t="shared" si="13"/>
        <v>0</v>
      </c>
      <c r="J117" s="75">
        <f>RDG!K14</f>
        <v>1</v>
      </c>
      <c r="K117" s="76">
        <f>RDG!L14</f>
        <v>2411615</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2524609.62</v>
      </c>
      <c r="I118" s="27">
        <f t="shared" si="13"/>
        <v>0</v>
      </c>
      <c r="J118" s="75">
        <f>RDG!K15</f>
        <v>0</v>
      </c>
      <c r="K118" s="76">
        <f>RDG!L15</f>
        <v>1078893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3171879.55</v>
      </c>
      <c r="I120" s="27">
        <f t="shared" si="13"/>
        <v>0</v>
      </c>
      <c r="J120" s="75">
        <f>RDG!K17</f>
        <v>1</v>
      </c>
      <c r="K120" s="76">
        <f>RDG!L17</f>
        <v>1332722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7494184.8</v>
      </c>
      <c r="I121" s="27">
        <f t="shared" si="13"/>
        <v>0</v>
      </c>
      <c r="J121" s="75">
        <f>RDG!K18</f>
        <v>0</v>
      </c>
      <c r="K121" s="76">
        <f>RDG!L18</f>
        <v>3122577</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4648023.819999999</v>
      </c>
      <c r="I122" s="27">
        <f t="shared" si="13"/>
        <v>0</v>
      </c>
      <c r="J122" s="75">
        <f>RDG!K19</f>
        <v>0</v>
      </c>
      <c r="K122" s="76">
        <f>RDG!L19</f>
        <v>1920671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1789159.28</v>
      </c>
      <c r="I123" s="27">
        <f t="shared" si="13"/>
        <v>0</v>
      </c>
      <c r="J123" s="75">
        <f>RDG!K20</f>
        <v>0</v>
      </c>
      <c r="K123" s="76">
        <f>RDG!L20</f>
        <v>733262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1152864.24</v>
      </c>
      <c r="I124" s="27">
        <f t="shared" si="13"/>
        <v>0</v>
      </c>
      <c r="J124" s="75">
        <f>RDG!K21</f>
        <v>0</v>
      </c>
      <c r="K124" s="76">
        <f>RDG!L21</f>
        <v>468644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4885830.64</v>
      </c>
      <c r="I125" s="27">
        <f t="shared" si="13"/>
        <v>0</v>
      </c>
      <c r="J125" s="75">
        <f>RDG!K22</f>
        <v>0</v>
      </c>
      <c r="K125" s="76">
        <f>RDG!L22</f>
        <v>1970093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1163070</v>
      </c>
      <c r="I126" s="27">
        <f t="shared" si="13"/>
        <v>0</v>
      </c>
      <c r="J126" s="75">
        <f>RDG!K23</f>
        <v>0</v>
      </c>
      <c r="K126" s="76">
        <f>RDG!L23</f>
        <v>465228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27445.600000000002</v>
      </c>
      <c r="I131" s="27">
        <f t="shared" si="13"/>
        <v>0</v>
      </c>
      <c r="J131" s="75">
        <f>RDG!K28</f>
        <v>0</v>
      </c>
      <c r="K131" s="76">
        <f>RDG!L28</f>
        <v>10556</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1310</v>
      </c>
      <c r="I132" s="27">
        <f t="shared" si="13"/>
        <v>0</v>
      </c>
      <c r="J132" s="75">
        <f>RDG!K29</f>
        <v>0</v>
      </c>
      <c r="K132" s="76">
        <f>RDG!L29</f>
        <v>500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1330</v>
      </c>
      <c r="I134" s="27">
        <f t="shared" si="13"/>
        <v>0</v>
      </c>
      <c r="J134" s="75">
        <f>RDG!K31</f>
        <v>0</v>
      </c>
      <c r="K134" s="76">
        <f>RDG!L31</f>
        <v>500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41.1</v>
      </c>
      <c r="I138" s="27">
        <f t="shared" si="13"/>
        <v>0</v>
      </c>
      <c r="J138" s="75">
        <f>RDG!K35</f>
        <v>0</v>
      </c>
      <c r="K138" s="76">
        <f>RDG!L35</f>
        <v>15</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41.699999999999996</v>
      </c>
      <c r="I140" s="27">
        <f t="shared" si="13"/>
        <v>0</v>
      </c>
      <c r="J140" s="75">
        <f>RDG!K37</f>
        <v>0</v>
      </c>
      <c r="K140" s="76">
        <f>RDG!L37</f>
        <v>15</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34560</v>
      </c>
      <c r="I145" s="27">
        <f t="shared" si="13"/>
        <v>0</v>
      </c>
      <c r="J145" s="75">
        <f>RDG!K42</f>
        <v>0</v>
      </c>
      <c r="K145" s="76">
        <f>RDG!L42</f>
        <v>12000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23361105.22</v>
      </c>
      <c r="I147" s="27">
        <f t="shared" si="13"/>
        <v>0</v>
      </c>
      <c r="J147" s="75">
        <f>RDG!K44</f>
        <v>1</v>
      </c>
      <c r="K147" s="76">
        <f>RDG!L44</f>
        <v>8000378</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23461448.429999996</v>
      </c>
      <c r="I148" s="27">
        <f t="shared" si="13"/>
        <v>0</v>
      </c>
      <c r="J148" s="75">
        <f>RDG!K45</f>
        <v>1</v>
      </c>
      <c r="K148" s="76">
        <f>RDG!L45</f>
        <v>7980084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60070.24</v>
      </c>
      <c r="I149" s="27">
        <f t="shared" si="13"/>
        <v>0</v>
      </c>
      <c r="J149" s="75">
        <f>RDG!K46</f>
        <v>0</v>
      </c>
      <c r="K149" s="76">
        <f>RDG!L46</f>
        <v>20294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60476.12</v>
      </c>
      <c r="I150" s="27">
        <f t="shared" si="13"/>
        <v>0</v>
      </c>
      <c r="J150" s="75">
        <f>RDG!K47</f>
        <v>0</v>
      </c>
      <c r="K150" s="76">
        <f>RDG!L47</f>
        <v>20294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21336.300000000003</v>
      </c>
      <c r="I152" s="27">
        <f t="shared" si="13"/>
        <v>0</v>
      </c>
      <c r="J152" s="75">
        <f>RDG!K49</f>
        <v>0</v>
      </c>
      <c r="K152" s="76">
        <f>RDG!L49</f>
        <v>7065</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40216.159999999996</v>
      </c>
      <c r="I153" s="27">
        <f t="shared" si="13"/>
        <v>0</v>
      </c>
      <c r="J153" s="75">
        <f>RDG!K50</f>
        <v>0</v>
      </c>
      <c r="K153" s="76">
        <f>RDG!L50</f>
        <v>13229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40480.74</v>
      </c>
      <c r="I154" s="27">
        <f t="shared" si="13"/>
        <v>0</v>
      </c>
      <c r="J154" s="75">
        <f>RDG!K51</f>
        <v>0</v>
      </c>
      <c r="K154" s="76">
        <f>RDG!L51</f>
        <v>13229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01.01.2014. do 31.12.2014.</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04144724; ODVODNJA SAMOBOR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7" activePane="bottomLeft" state="frozen"/>
      <selection pane="topLeft" activeCell="A1" sqref="A1"/>
      <selection pane="bottomLeft" activeCell="C92" sqref="C92:J9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INFO@ODVODNJASAMOBOR.HR</v>
      </c>
      <c r="N59" s="201" t="str">
        <f>UPPER(TRIM(Opci!C69))</f>
        <v>NADA.KOS@ODVODNJASAMOBOR.HR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C:\Users\User\Desktop\odvodnja d.o.o\OBRAČUNI\[2014 javna objava GFI-POD ver. 2.0.4.xls]Opci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1" t="s">
        <v>2847</v>
      </c>
      <c r="D92" s="632"/>
      <c r="E92" s="632"/>
      <c r="F92" s="632"/>
      <c r="G92" s="632"/>
      <c r="H92" s="632"/>
      <c r="I92" s="632"/>
      <c r="J92" s="632"/>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3.389830508474576</v>
      </c>
      <c r="Q92">
        <f>IF(Opci!C53+Opci!E53&gt;20,ABS(Opci!C53-Opci!E53)/(Opci!C53+Opci!E53)*200,0)</f>
        <v>200</v>
      </c>
      <c r="R92">
        <f>IF(Opci!C55+Opci!E55,ABS(Opci!C55-Opci!E55)/(Opci!C55+Opci!E55)*200,0)</f>
        <v>200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J13" sqref="J13"/>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ODVODNJA SAMOBOR d.o.o.</v>
      </c>
      <c r="B21" s="250"/>
      <c r="C21" s="250"/>
      <c r="D21" s="250"/>
      <c r="E21" s="250"/>
      <c r="F21" s="250"/>
      <c r="G21" s="250"/>
      <c r="H21" s="251"/>
      <c r="I21" s="252"/>
      <c r="J21" s="253"/>
    </row>
    <row r="22" spans="1:10" ht="13.5" customHeight="1">
      <c r="A22" s="255" t="str">
        <f>IF(Opci!C29&lt;&gt;"",MID(Opci!C29,1,30),"")</f>
        <v>ULICA 151. SAMOBORSKE BRIGADE </v>
      </c>
      <c r="B22" s="249"/>
      <c r="C22" s="249"/>
      <c r="D22" s="249"/>
      <c r="E22" s="249"/>
      <c r="F22" s="249"/>
      <c r="G22" s="249"/>
      <c r="H22" s="80"/>
      <c r="I22" s="247"/>
      <c r="J22" s="246"/>
    </row>
    <row r="23" spans="1:10" ht="13.5" customHeight="1">
      <c r="A23" s="255" t="str">
        <f>IF(AND(Opci!C27&lt;&gt;"",Opci!F27&lt;&gt;""),MID(Opci!C27&amp;" "&amp;Opci!F27,1,30),"")</f>
        <v>10430 SAMOBOR</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8 7 8 1 5 4 9 6 6 1 8</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2014.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135" activePane="bottomLeft" state="frozen"/>
      <selection pane="topLeft" activeCell="A1" sqref="A1"/>
      <selection pane="bottomLeft" activeCell="A136" sqref="A136:J136"/>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9" activePane="bottomLeft" state="frozen"/>
      <selection pane="topLeft" activeCell="A1" sqref="A1"/>
      <selection pane="bottomLeft" activeCell="D39" sqref="D39:G4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414472.4</v>
      </c>
      <c r="T2" s="192">
        <f>INT(VALUE(C21))/50</f>
        <v>1617681.22</v>
      </c>
      <c r="U2" s="192">
        <f>INT(VALUE(C23))/100</f>
        <v>878154966.18</v>
      </c>
      <c r="V2" s="192">
        <f>LEN(Skriveni!B9)</f>
        <v>23</v>
      </c>
      <c r="W2" s="192">
        <f>INT(VALUE(C27))/100</f>
        <v>104.3</v>
      </c>
      <c r="X2" s="192">
        <f>LEN(Skriveni!B11)</f>
        <v>7</v>
      </c>
      <c r="Y2" s="192">
        <f>LEN(Skriveni!B12)</f>
        <v>34</v>
      </c>
      <c r="Z2" s="192">
        <f>INT(VALUE(C35))</f>
        <v>380</v>
      </c>
      <c r="AA2" s="192">
        <f>INT(VALUE(C39))</f>
        <v>3700</v>
      </c>
      <c r="AB2" s="192">
        <f>IF(C41="DA",1,0)</f>
        <v>0</v>
      </c>
      <c r="AC2" s="192">
        <f>IF(C43="DA",1,0)</f>
        <v>0</v>
      </c>
      <c r="AD2" s="192">
        <f>INT(VALUE(C45))</f>
        <v>2</v>
      </c>
      <c r="AE2" s="192">
        <f>INT(VALUE(C47))</f>
        <v>1</v>
      </c>
      <c r="AF2" s="192">
        <f>INT(VALUE(C49))</f>
        <v>11</v>
      </c>
      <c r="AG2" s="192">
        <f>C51*2+E51</f>
        <v>200</v>
      </c>
      <c r="AH2" s="192">
        <f>C53+2*E53+3*C55+4*E55</f>
        <v>176</v>
      </c>
      <c r="AI2" s="192">
        <f>C57*2+E57</f>
        <v>14</v>
      </c>
      <c r="AJ2" s="192">
        <f>LEN(Skriveni!B43)</f>
        <v>14</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41640</v>
      </c>
      <c r="F5" s="463"/>
      <c r="G5" s="146" t="s">
        <v>2278</v>
      </c>
      <c r="H5" s="462">
        <v>42004</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64" t="str">
        <f>IF(E9&lt;&gt;""," "&amp;LOOKUP(E9,AB29:AB45,AC29:AC45),"")</f>
        <v> Javno trgovačko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2014</v>
      </c>
      <c r="H14" s="438" t="s">
        <v>1010</v>
      </c>
      <c r="I14" s="439"/>
      <c r="J14" s="439"/>
      <c r="K14" s="97"/>
      <c r="L14" s="162"/>
      <c r="M14" s="162"/>
      <c r="N14" s="162"/>
    </row>
    <row r="15" spans="1:14" ht="19.5" customHeight="1">
      <c r="A15" s="440">
        <f>SUM(Skriveni!H2:H392)+SUM(P2:AK2)+SUM(Skriveni!AC2:AC101)</f>
        <v>1668919833.0900002</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10430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2984</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380</v>
      </c>
      <c r="D35" s="414" t="str">
        <f>IF(C35&lt;&gt;"",LOOKUP(C35,P29:P584,Q29:Q584),"Nije upisana općina!")</f>
        <v>Samobor</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1</v>
      </c>
      <c r="D37" s="414" t="str">
        <f>IF(C37&lt;&gt;"",LOOKUP(C37,T29:T49,U29:U49),"")</f>
        <v>ZAGREBAČKA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2610</v>
      </c>
      <c r="D39" s="461" t="str">
        <f>IF(C39&lt;&gt;"",LOOKUP(C39,Djel!A5:A621,Djel!B5:B621),"Djelatnost nije upisana!")</f>
        <v>Uklanjanje otpadnih voda</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2985</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0</v>
      </c>
      <c r="D53" s="171"/>
      <c r="E53" s="190">
        <v>30</v>
      </c>
      <c r="F53" s="171"/>
      <c r="G53" s="97"/>
      <c r="H53" s="124" t="s">
        <v>2985</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0</v>
      </c>
      <c r="D55" s="171"/>
      <c r="E55" s="191">
        <v>29</v>
      </c>
      <c r="F55" s="171"/>
      <c r="G55" s="97"/>
      <c r="H55" s="124" t="s">
        <v>2985</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2981</v>
      </c>
      <c r="D67" s="420"/>
      <c r="E67" s="421"/>
      <c r="F67" s="97"/>
      <c r="G67" s="167" t="s">
        <v>1484</v>
      </c>
      <c r="H67" s="452" t="s">
        <v>2982</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2979</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2983</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1" activePane="bottomLeft" state="frozen"/>
      <selection pane="topLeft" activeCell="A1" sqref="A1"/>
      <selection pane="bottomLeft" activeCell="L105" sqref="L105"/>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31.12.2014.</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87815496618; ODVODNJA SAMOBOR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67943047</v>
      </c>
      <c r="L11" s="59">
        <f>L12+L19+L29+L38+L42</f>
        <v>69594247</v>
      </c>
    </row>
    <row r="12" spans="1:12" ht="13.5" customHeight="1">
      <c r="A12" s="482" t="s">
        <v>753</v>
      </c>
      <c r="B12" s="483"/>
      <c r="C12" s="483"/>
      <c r="D12" s="483"/>
      <c r="E12" s="483"/>
      <c r="F12" s="483"/>
      <c r="G12" s="483"/>
      <c r="H12" s="484"/>
      <c r="I12" s="4">
        <v>3</v>
      </c>
      <c r="J12" s="8"/>
      <c r="K12" s="59">
        <f>SUM(K13:K18)</f>
        <v>0</v>
      </c>
      <c r="L12" s="59">
        <f>SUM(L13:L18)</f>
        <v>0</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c r="L14" s="60"/>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67943047</v>
      </c>
      <c r="L19" s="59">
        <f>SUM(L20:L28)</f>
        <v>69594247</v>
      </c>
    </row>
    <row r="20" spans="1:12" ht="13.5" customHeight="1">
      <c r="A20" s="479" t="s">
        <v>1436</v>
      </c>
      <c r="B20" s="480"/>
      <c r="C20" s="480"/>
      <c r="D20" s="480"/>
      <c r="E20" s="480"/>
      <c r="F20" s="480"/>
      <c r="G20" s="480"/>
      <c r="H20" s="481"/>
      <c r="I20" s="4">
        <v>11</v>
      </c>
      <c r="J20" s="8"/>
      <c r="K20" s="60"/>
      <c r="L20" s="60"/>
    </row>
    <row r="21" spans="1:12" ht="13.5" customHeight="1">
      <c r="A21" s="479" t="s">
        <v>186</v>
      </c>
      <c r="B21" s="480"/>
      <c r="C21" s="480"/>
      <c r="D21" s="480"/>
      <c r="E21" s="480"/>
      <c r="F21" s="480"/>
      <c r="G21" s="480"/>
      <c r="H21" s="481"/>
      <c r="I21" s="4">
        <v>12</v>
      </c>
      <c r="J21" s="8"/>
      <c r="K21" s="60">
        <v>54716903</v>
      </c>
      <c r="L21" s="60">
        <v>56037318</v>
      </c>
    </row>
    <row r="22" spans="1:12" ht="13.5" customHeight="1">
      <c r="A22" s="479" t="s">
        <v>1437</v>
      </c>
      <c r="B22" s="480"/>
      <c r="C22" s="480"/>
      <c r="D22" s="480"/>
      <c r="E22" s="480"/>
      <c r="F22" s="480"/>
      <c r="G22" s="480"/>
      <c r="H22" s="481"/>
      <c r="I22" s="4">
        <v>13</v>
      </c>
      <c r="J22" s="8"/>
      <c r="K22" s="60">
        <v>4286</v>
      </c>
      <c r="L22" s="60">
        <v>174517</v>
      </c>
    </row>
    <row r="23" spans="1:12" ht="13.5" customHeight="1">
      <c r="A23" s="479" t="s">
        <v>1273</v>
      </c>
      <c r="B23" s="480"/>
      <c r="C23" s="480"/>
      <c r="D23" s="480"/>
      <c r="E23" s="480"/>
      <c r="F23" s="480"/>
      <c r="G23" s="480"/>
      <c r="H23" s="481"/>
      <c r="I23" s="4">
        <v>14</v>
      </c>
      <c r="J23" s="8"/>
      <c r="K23" s="60"/>
      <c r="L23" s="60">
        <v>398956</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13221858</v>
      </c>
      <c r="L26" s="60">
        <v>12983456</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2510445</v>
      </c>
      <c r="L43" s="59">
        <f>L44+L52+L59+L67</f>
        <v>3092075</v>
      </c>
    </row>
    <row r="44" spans="1:12" ht="13.5" customHeight="1">
      <c r="A44" s="482" t="s">
        <v>319</v>
      </c>
      <c r="B44" s="483"/>
      <c r="C44" s="483"/>
      <c r="D44" s="483"/>
      <c r="E44" s="483"/>
      <c r="F44" s="483"/>
      <c r="G44" s="483"/>
      <c r="H44" s="484"/>
      <c r="I44" s="4">
        <v>35</v>
      </c>
      <c r="J44" s="8"/>
      <c r="K44" s="59">
        <f>SUM(K45:K51)</f>
        <v>0</v>
      </c>
      <c r="L44" s="59">
        <f>SUM(L45:L51)</f>
        <v>0</v>
      </c>
    </row>
    <row r="45" spans="1:12" ht="13.5" customHeight="1">
      <c r="A45" s="479" t="s">
        <v>1485</v>
      </c>
      <c r="B45" s="480"/>
      <c r="C45" s="480"/>
      <c r="D45" s="480"/>
      <c r="E45" s="480"/>
      <c r="F45" s="480"/>
      <c r="G45" s="480"/>
      <c r="H45" s="481"/>
      <c r="I45" s="4">
        <v>36</v>
      </c>
      <c r="J45" s="8"/>
      <c r="K45" s="60"/>
      <c r="L45" s="60"/>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2510445</v>
      </c>
      <c r="L52" s="59">
        <f>SUM(L53:L58)</f>
        <v>2642340</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2510445</v>
      </c>
      <c r="L54" s="60">
        <v>2528373</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c r="L57" s="60">
        <v>76299</v>
      </c>
    </row>
    <row r="58" spans="1:12" ht="13.5" customHeight="1">
      <c r="A58" s="479" t="s">
        <v>664</v>
      </c>
      <c r="B58" s="480"/>
      <c r="C58" s="480"/>
      <c r="D58" s="480"/>
      <c r="E58" s="480"/>
      <c r="F58" s="480"/>
      <c r="G58" s="480"/>
      <c r="H58" s="481"/>
      <c r="I58" s="4">
        <v>49</v>
      </c>
      <c r="J58" s="8"/>
      <c r="K58" s="60"/>
      <c r="L58" s="60">
        <v>37668</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c r="L67" s="60">
        <v>449735</v>
      </c>
    </row>
    <row r="68" spans="1:12" ht="13.5" customHeight="1">
      <c r="A68" s="488" t="s">
        <v>2848</v>
      </c>
      <c r="B68" s="489"/>
      <c r="C68" s="489"/>
      <c r="D68" s="489"/>
      <c r="E68" s="489"/>
      <c r="F68" s="489"/>
      <c r="G68" s="489"/>
      <c r="H68" s="490"/>
      <c r="I68" s="4">
        <v>59</v>
      </c>
      <c r="J68" s="8"/>
      <c r="K68" s="60"/>
      <c r="L68" s="60">
        <v>15040</v>
      </c>
    </row>
    <row r="69" spans="1:12" ht="13.5" customHeight="1">
      <c r="A69" s="488" t="s">
        <v>2298</v>
      </c>
      <c r="B69" s="489"/>
      <c r="C69" s="489"/>
      <c r="D69" s="489"/>
      <c r="E69" s="489"/>
      <c r="F69" s="489"/>
      <c r="G69" s="489"/>
      <c r="H69" s="490"/>
      <c r="I69" s="4">
        <v>60</v>
      </c>
      <c r="J69" s="8"/>
      <c r="K69" s="59">
        <f>K10+K11+K43+K68</f>
        <v>70453492</v>
      </c>
      <c r="L69" s="59">
        <f>L10+L11+L43+L68</f>
        <v>72701362</v>
      </c>
    </row>
    <row r="70" spans="1:12" ht="13.5" customHeight="1">
      <c r="A70" s="512" t="s">
        <v>309</v>
      </c>
      <c r="B70" s="513"/>
      <c r="C70" s="513"/>
      <c r="D70" s="513"/>
      <c r="E70" s="513"/>
      <c r="F70" s="513"/>
      <c r="G70" s="513"/>
      <c r="H70" s="514"/>
      <c r="I70" s="5">
        <v>61</v>
      </c>
      <c r="J70" s="9"/>
      <c r="K70" s="61"/>
      <c r="L70" s="61">
        <v>169810</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1550000</v>
      </c>
      <c r="L72" s="79">
        <f>L73+L74+L75+L81+L82+L85+L88</f>
        <v>1563229</v>
      </c>
    </row>
    <row r="73" spans="1:12" ht="13.5" customHeight="1">
      <c r="A73" s="482" t="s">
        <v>2741</v>
      </c>
      <c r="B73" s="483"/>
      <c r="C73" s="483"/>
      <c r="D73" s="483"/>
      <c r="E73" s="483"/>
      <c r="F73" s="483"/>
      <c r="G73" s="483"/>
      <c r="H73" s="484"/>
      <c r="I73" s="4">
        <v>63</v>
      </c>
      <c r="J73" s="8"/>
      <c r="K73" s="60">
        <v>1550000</v>
      </c>
      <c r="L73" s="60">
        <v>1550000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0</v>
      </c>
      <c r="L75" s="59">
        <f>L76+L77-L78+L79+L80</f>
        <v>0</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0</v>
      </c>
      <c r="L82" s="59">
        <f>L83-L84</f>
        <v>0</v>
      </c>
    </row>
    <row r="83" spans="1:12" ht="13.5" customHeight="1">
      <c r="A83" s="485" t="s">
        <v>2824</v>
      </c>
      <c r="B83" s="486"/>
      <c r="C83" s="486"/>
      <c r="D83" s="486"/>
      <c r="E83" s="486"/>
      <c r="F83" s="486"/>
      <c r="G83" s="486"/>
      <c r="H83" s="487"/>
      <c r="I83" s="4">
        <v>73</v>
      </c>
      <c r="J83" s="8"/>
      <c r="K83" s="60"/>
      <c r="L83" s="60"/>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0</v>
      </c>
      <c r="L85" s="59">
        <f>L86-L87</f>
        <v>13229</v>
      </c>
    </row>
    <row r="86" spans="1:12" ht="13.5" customHeight="1">
      <c r="A86" s="485" t="s">
        <v>2826</v>
      </c>
      <c r="B86" s="486"/>
      <c r="C86" s="486"/>
      <c r="D86" s="486"/>
      <c r="E86" s="486"/>
      <c r="F86" s="486"/>
      <c r="G86" s="486"/>
      <c r="H86" s="487"/>
      <c r="I86" s="4">
        <v>76</v>
      </c>
      <c r="J86" s="8"/>
      <c r="K86" s="60"/>
      <c r="L86" s="60">
        <v>13229</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349494</v>
      </c>
      <c r="L103" s="59">
        <f>SUM(L104:L115)</f>
        <v>1221368</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c r="L108" s="60">
        <v>518297</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c r="L111" s="60">
        <v>270301</v>
      </c>
    </row>
    <row r="112" spans="1:12" ht="13.5" customHeight="1">
      <c r="A112" s="479" t="s">
        <v>314</v>
      </c>
      <c r="B112" s="480"/>
      <c r="C112" s="480"/>
      <c r="D112" s="480"/>
      <c r="E112" s="480"/>
      <c r="F112" s="480"/>
      <c r="G112" s="480"/>
      <c r="H112" s="481"/>
      <c r="I112" s="4">
        <v>102</v>
      </c>
      <c r="J112" s="8"/>
      <c r="K112" s="60"/>
      <c r="L112" s="60">
        <v>9185</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349494</v>
      </c>
      <c r="L115" s="60">
        <v>423585</v>
      </c>
    </row>
    <row r="116" spans="1:12" ht="13.5" customHeight="1">
      <c r="A116" s="488" t="s">
        <v>1525</v>
      </c>
      <c r="B116" s="489"/>
      <c r="C116" s="489"/>
      <c r="D116" s="489"/>
      <c r="E116" s="489"/>
      <c r="F116" s="489"/>
      <c r="G116" s="489"/>
      <c r="H116" s="490"/>
      <c r="I116" s="4">
        <v>106</v>
      </c>
      <c r="J116" s="8"/>
      <c r="K116" s="60">
        <v>68553998</v>
      </c>
      <c r="L116" s="60">
        <v>69916765</v>
      </c>
    </row>
    <row r="117" spans="1:12" ht="13.5" customHeight="1">
      <c r="A117" s="488" t="s">
        <v>1271</v>
      </c>
      <c r="B117" s="489"/>
      <c r="C117" s="489"/>
      <c r="D117" s="489"/>
      <c r="E117" s="489"/>
      <c r="F117" s="489"/>
      <c r="G117" s="489"/>
      <c r="H117" s="490"/>
      <c r="I117" s="4">
        <v>107</v>
      </c>
      <c r="J117" s="8"/>
      <c r="K117" s="59">
        <f>K72+K89+K93+K103+K116</f>
        <v>70453492</v>
      </c>
      <c r="L117" s="59">
        <f>L72+L89+L93+L103+L116</f>
        <v>72701362</v>
      </c>
    </row>
    <row r="118" spans="1:12" ht="13.5" customHeight="1">
      <c r="A118" s="528" t="s">
        <v>2849</v>
      </c>
      <c r="B118" s="529"/>
      <c r="C118" s="529"/>
      <c r="D118" s="529"/>
      <c r="E118" s="529"/>
      <c r="F118" s="529"/>
      <c r="G118" s="529"/>
      <c r="H118" s="530"/>
      <c r="I118" s="5">
        <v>108</v>
      </c>
      <c r="J118" s="8"/>
      <c r="K118" s="61"/>
      <c r="L118" s="61">
        <v>169810</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16" activePane="bottomLeft" state="frozen"/>
      <selection pane="topLeft" activeCell="A1" sqref="A1"/>
      <selection pane="bottomLeft" activeCell="A20" sqref="A20:H2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01.01.2014. do 31.12.2014.</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87815496618; ODVODNJA SAMOBOR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1</v>
      </c>
      <c r="L9" s="79">
        <f>SUM(L10:L11)</f>
        <v>7987878</v>
      </c>
    </row>
    <row r="10" spans="1:12" s="3" customFormat="1" ht="13.5" customHeight="1">
      <c r="A10" s="488" t="s">
        <v>1722</v>
      </c>
      <c r="B10" s="489"/>
      <c r="C10" s="489"/>
      <c r="D10" s="489"/>
      <c r="E10" s="489"/>
      <c r="F10" s="489"/>
      <c r="G10" s="489"/>
      <c r="H10" s="490"/>
      <c r="I10" s="4">
        <v>112</v>
      </c>
      <c r="J10" s="8"/>
      <c r="K10" s="60">
        <v>1</v>
      </c>
      <c r="L10" s="60">
        <v>4374154</v>
      </c>
    </row>
    <row r="11" spans="1:12" s="3" customFormat="1" ht="13.5" customHeight="1">
      <c r="A11" s="488" t="s">
        <v>322</v>
      </c>
      <c r="B11" s="489"/>
      <c r="C11" s="489"/>
      <c r="D11" s="489"/>
      <c r="E11" s="489"/>
      <c r="F11" s="489"/>
      <c r="G11" s="489"/>
      <c r="H11" s="490"/>
      <c r="I11" s="4">
        <v>113</v>
      </c>
      <c r="J11" s="8"/>
      <c r="K11" s="60"/>
      <c r="L11" s="60">
        <v>3613724</v>
      </c>
    </row>
    <row r="12" spans="1:12" s="3" customFormat="1" ht="13.5" customHeight="1">
      <c r="A12" s="488" t="s">
        <v>669</v>
      </c>
      <c r="B12" s="489"/>
      <c r="C12" s="489"/>
      <c r="D12" s="489"/>
      <c r="E12" s="489"/>
      <c r="F12" s="489"/>
      <c r="G12" s="489"/>
      <c r="H12" s="490"/>
      <c r="I12" s="4">
        <v>114</v>
      </c>
      <c r="J12" s="8"/>
      <c r="K12" s="59">
        <f>K13+K14+K18+K22+K23+K24+K27+K28</f>
        <v>1</v>
      </c>
      <c r="L12" s="59">
        <f>L13+L14+L18+L22+L23+L24+L27+L28</f>
        <v>7980069</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1</v>
      </c>
      <c r="L14" s="59">
        <f>SUM(L15:L17)</f>
        <v>2411615</v>
      </c>
    </row>
    <row r="15" spans="1:12" s="3" customFormat="1" ht="13.5" customHeight="1">
      <c r="A15" s="479" t="s">
        <v>2463</v>
      </c>
      <c r="B15" s="480"/>
      <c r="C15" s="480"/>
      <c r="D15" s="480"/>
      <c r="E15" s="480"/>
      <c r="F15" s="480"/>
      <c r="G15" s="480"/>
      <c r="H15" s="481"/>
      <c r="I15" s="4">
        <v>117</v>
      </c>
      <c r="J15" s="8"/>
      <c r="K15" s="60"/>
      <c r="L15" s="60">
        <v>1078893</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1</v>
      </c>
      <c r="L17" s="60">
        <v>1332722</v>
      </c>
    </row>
    <row r="18" spans="1:12" s="3" customFormat="1" ht="13.5" customHeight="1">
      <c r="A18" s="488" t="s">
        <v>1269</v>
      </c>
      <c r="B18" s="489"/>
      <c r="C18" s="489"/>
      <c r="D18" s="489"/>
      <c r="E18" s="489"/>
      <c r="F18" s="489"/>
      <c r="G18" s="489"/>
      <c r="H18" s="490"/>
      <c r="I18" s="4">
        <v>120</v>
      </c>
      <c r="J18" s="8"/>
      <c r="K18" s="59">
        <f>SUM(K19:K21)</f>
        <v>0</v>
      </c>
      <c r="L18" s="59">
        <f>SUM(L19:L21)</f>
        <v>3122577</v>
      </c>
    </row>
    <row r="19" spans="1:12" s="3" customFormat="1" ht="13.5" customHeight="1">
      <c r="A19" s="479" t="s">
        <v>2664</v>
      </c>
      <c r="B19" s="480"/>
      <c r="C19" s="480"/>
      <c r="D19" s="480"/>
      <c r="E19" s="480"/>
      <c r="F19" s="480"/>
      <c r="G19" s="480"/>
      <c r="H19" s="481"/>
      <c r="I19" s="4">
        <v>121</v>
      </c>
      <c r="J19" s="8"/>
      <c r="K19" s="60"/>
      <c r="L19" s="60">
        <v>1920671</v>
      </c>
    </row>
    <row r="20" spans="1:12" s="3" customFormat="1" ht="13.5" customHeight="1">
      <c r="A20" s="479" t="s">
        <v>2665</v>
      </c>
      <c r="B20" s="480"/>
      <c r="C20" s="480"/>
      <c r="D20" s="480"/>
      <c r="E20" s="480"/>
      <c r="F20" s="480"/>
      <c r="G20" s="480"/>
      <c r="H20" s="481"/>
      <c r="I20" s="4">
        <v>122</v>
      </c>
      <c r="J20" s="8"/>
      <c r="K20" s="60"/>
      <c r="L20" s="60">
        <v>733262</v>
      </c>
    </row>
    <row r="21" spans="1:12" s="3" customFormat="1" ht="13.5" customHeight="1">
      <c r="A21" s="479" t="s">
        <v>2666</v>
      </c>
      <c r="B21" s="480"/>
      <c r="C21" s="480"/>
      <c r="D21" s="480"/>
      <c r="E21" s="480"/>
      <c r="F21" s="480"/>
      <c r="G21" s="480"/>
      <c r="H21" s="481"/>
      <c r="I21" s="4">
        <v>123</v>
      </c>
      <c r="J21" s="8"/>
      <c r="K21" s="60"/>
      <c r="L21" s="60">
        <v>468644</v>
      </c>
    </row>
    <row r="22" spans="1:12" s="3" customFormat="1" ht="13.5" customHeight="1">
      <c r="A22" s="488" t="s">
        <v>324</v>
      </c>
      <c r="B22" s="489"/>
      <c r="C22" s="489"/>
      <c r="D22" s="489"/>
      <c r="E22" s="489"/>
      <c r="F22" s="489"/>
      <c r="G22" s="489"/>
      <c r="H22" s="490"/>
      <c r="I22" s="4">
        <v>124</v>
      </c>
      <c r="J22" s="8"/>
      <c r="K22" s="60"/>
      <c r="L22" s="60">
        <v>1970093</v>
      </c>
    </row>
    <row r="23" spans="1:12" s="3" customFormat="1" ht="13.5" customHeight="1">
      <c r="A23" s="488" t="s">
        <v>325</v>
      </c>
      <c r="B23" s="489"/>
      <c r="C23" s="489"/>
      <c r="D23" s="489"/>
      <c r="E23" s="489"/>
      <c r="F23" s="489"/>
      <c r="G23" s="489"/>
      <c r="H23" s="490"/>
      <c r="I23" s="4">
        <v>125</v>
      </c>
      <c r="J23" s="8"/>
      <c r="K23" s="60"/>
      <c r="L23" s="60">
        <v>465228</v>
      </c>
    </row>
    <row r="24" spans="1:12" s="3" customFormat="1" ht="13.5" customHeight="1">
      <c r="A24" s="488" t="s">
        <v>1270</v>
      </c>
      <c r="B24" s="489"/>
      <c r="C24" s="489"/>
      <c r="D24" s="489"/>
      <c r="E24" s="489"/>
      <c r="F24" s="489"/>
      <c r="G24" s="489"/>
      <c r="H24" s="490"/>
      <c r="I24" s="4">
        <v>126</v>
      </c>
      <c r="J24" s="8"/>
      <c r="K24" s="59">
        <f>SUM(K25:K26)</f>
        <v>0</v>
      </c>
      <c r="L24" s="59">
        <f>SUM(L25:L26)</f>
        <v>0</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c r="L26" s="60"/>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c r="L28" s="60">
        <v>10556</v>
      </c>
    </row>
    <row r="29" spans="1:12" s="3" customFormat="1" ht="13.5" customHeight="1">
      <c r="A29" s="488" t="s">
        <v>53</v>
      </c>
      <c r="B29" s="489"/>
      <c r="C29" s="489"/>
      <c r="D29" s="489"/>
      <c r="E29" s="489"/>
      <c r="F29" s="489"/>
      <c r="G29" s="489"/>
      <c r="H29" s="490"/>
      <c r="I29" s="4">
        <v>131</v>
      </c>
      <c r="J29" s="8"/>
      <c r="K29" s="59">
        <f>SUM(K30:K34)</f>
        <v>0</v>
      </c>
      <c r="L29" s="59">
        <f>SUM(L30:L34)</f>
        <v>500</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c r="L31" s="60">
        <v>500</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0</v>
      </c>
      <c r="L35" s="59">
        <f>SUM(L36:L39)</f>
        <v>15</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c r="L37" s="60">
        <v>15</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v>12000</v>
      </c>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1</v>
      </c>
      <c r="L44" s="59">
        <f>L9+L29+L40+L42</f>
        <v>8000378</v>
      </c>
    </row>
    <row r="45" spans="1:12" s="3" customFormat="1" ht="13.5" customHeight="1">
      <c r="A45" s="488" t="s">
        <v>56</v>
      </c>
      <c r="B45" s="489"/>
      <c r="C45" s="489"/>
      <c r="D45" s="489"/>
      <c r="E45" s="489"/>
      <c r="F45" s="489"/>
      <c r="G45" s="489"/>
      <c r="H45" s="490"/>
      <c r="I45" s="4">
        <v>147</v>
      </c>
      <c r="J45" s="8"/>
      <c r="K45" s="59">
        <f>K12+K35+K41+K43</f>
        <v>1</v>
      </c>
      <c r="L45" s="59">
        <f>L12+L35+L41+L43</f>
        <v>7980084</v>
      </c>
    </row>
    <row r="46" spans="1:12" s="3" customFormat="1" ht="13.5" customHeight="1">
      <c r="A46" s="488" t="s">
        <v>1825</v>
      </c>
      <c r="B46" s="489"/>
      <c r="C46" s="489"/>
      <c r="D46" s="489"/>
      <c r="E46" s="489"/>
      <c r="F46" s="489"/>
      <c r="G46" s="489"/>
      <c r="H46" s="490"/>
      <c r="I46" s="4">
        <v>148</v>
      </c>
      <c r="J46" s="8"/>
      <c r="K46" s="59">
        <f>K44-K45</f>
        <v>0</v>
      </c>
      <c r="L46" s="59">
        <f>L44-L45</f>
        <v>20294</v>
      </c>
    </row>
    <row r="47" spans="1:12" s="3" customFormat="1" ht="13.5" customHeight="1">
      <c r="A47" s="485" t="s">
        <v>58</v>
      </c>
      <c r="B47" s="486"/>
      <c r="C47" s="486"/>
      <c r="D47" s="486"/>
      <c r="E47" s="486"/>
      <c r="F47" s="486"/>
      <c r="G47" s="486"/>
      <c r="H47" s="487"/>
      <c r="I47" s="4">
        <v>149</v>
      </c>
      <c r="J47" s="8"/>
      <c r="K47" s="59">
        <f>IF(K44&gt;K45,K44-K45,0)</f>
        <v>0</v>
      </c>
      <c r="L47" s="59">
        <f>IF(L44&gt;L45,L44-L45,0)</f>
        <v>20294</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c r="L49" s="60">
        <v>7065</v>
      </c>
    </row>
    <row r="50" spans="1:12" s="3" customFormat="1" ht="13.5" customHeight="1">
      <c r="A50" s="488" t="s">
        <v>1826</v>
      </c>
      <c r="B50" s="489"/>
      <c r="C50" s="489"/>
      <c r="D50" s="489"/>
      <c r="E50" s="489"/>
      <c r="F50" s="489"/>
      <c r="G50" s="489"/>
      <c r="H50" s="490"/>
      <c r="I50" s="4">
        <v>152</v>
      </c>
      <c r="J50" s="8"/>
      <c r="K50" s="59">
        <f>K46-K49</f>
        <v>0</v>
      </c>
      <c r="L50" s="59">
        <f>L46-L49</f>
        <v>13229</v>
      </c>
    </row>
    <row r="51" spans="1:12" s="3" customFormat="1" ht="13.5" customHeight="1">
      <c r="A51" s="485" t="s">
        <v>1021</v>
      </c>
      <c r="B51" s="486"/>
      <c r="C51" s="486"/>
      <c r="D51" s="486"/>
      <c r="E51" s="486"/>
      <c r="F51" s="486"/>
      <c r="G51" s="486"/>
      <c r="H51" s="487"/>
      <c r="I51" s="4">
        <v>153</v>
      </c>
      <c r="J51" s="8"/>
      <c r="K51" s="59">
        <f>IF(K50&gt;0,K50,0)</f>
        <v>0</v>
      </c>
      <c r="L51" s="59">
        <f>IF(L50&gt;0,L50,0)</f>
        <v>13229</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22"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01.01.2014. do 31.12.2014.</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87815496618; ODVODNJA SAMOBOR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87815496618; ODVODNJA SAMOBOR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87815496618; ODVODNJA SAMOBOR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2015-06-19T09:55:15Z</cp:lastPrinted>
  <dcterms:created xsi:type="dcterms:W3CDTF">2008-10-17T11:51:54Z</dcterms:created>
  <dcterms:modified xsi:type="dcterms:W3CDTF">2015-06-19T09:55:34Z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