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240" windowHeight="10200" firstSheet="2"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<sst xmlns="http://schemas.openxmlformats.org/spreadsheetml/2006/main" count="3789" uniqueCount="2997">
  <si>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</si>
  <si>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</si>
  <si>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</si>
  <si>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</si>
  <si>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</si>
  <si>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</si>
  <si>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</si>
  <si>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</si>
  <si>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</si>
  <si>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</si>
  <si>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</si>
  <si>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</si>
  <si>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</si>
  <si>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</si>
  <si>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</si>
  <si>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</si>
  <si>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</si>
  <si>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</si>
  <si>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</si>
  <si>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</si>
  <si>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</si>
  <si>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</si>
  <si>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</si>
  <si>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</si>
  <si>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</si>
  <si>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</si>
  <si>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</si>
  <si>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</si>
  <si>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</si>
  <si>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</si>
  <si>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</si>
  <si>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</si>
  <si>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</si>
  <si>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</si>
  <si>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</si>
  <si>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</si>
  <si>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</si>
  <si>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</si>
  <si>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</si>
  <si>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</si>
  <si>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</si>
  <si>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</si>
  <si>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</si>
  <si>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</si>
  <si>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</si>
  <si>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</si>
  <si>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</si>
  <si>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</si>
  <si>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</si>
  <si>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</si>
  <si>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</si>
  <si>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</si>
  <si>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</si>
  <si>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</si>
  <si>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</si>
  <si>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</si>
  <si>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</si>
  <si>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</si>
  <si>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</si>
  <si>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</si>
  <si>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</si>
  <si>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</si>
  <si>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</si>
  <si>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</si>
  <si>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</si>
  <si>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</si>
  <si>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</si>
  <si>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</si>
  <si>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</si>
  <si>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</si>
  <si>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</si>
  <si>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</si>
  <si>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</si>
  <si>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</si>
  <si>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</si>
  <si>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</si>
  <si>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</si>
  <si>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</si>
  <si>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</si>
  <si>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</si>
  <si>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</si>
  <si>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</si>
  <si>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</si>
  <si>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</si>
  <si>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</si>
  <si>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</si>
  <si>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</si>
  <si>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</si>
  <si>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</si>
  <si>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</si>
  <si>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</si>
  <si>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</si>
  <si>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</si>
  <si>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</si>
  <si>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</si>
  <si>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</si>
  <si>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</si>
  <si>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</si>
  <si>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</si>
  <si>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</si>
  <si>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</si>
  <si>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</si>
  <si>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</si>
  <si>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</si>
  <si>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</si>
  <si>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</si>
  <si>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</si>
  <si>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</si>
  <si>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</si>
  <si>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</si>
  <si>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</si>
  <si>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</si>
  <si>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</si>
  <si>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</si>
  <si>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</si>
  <si>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</si>
  <si>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</si>
  <si>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</si>
  <si>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</si>
  <si>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</si>
  <si>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</si>
  <si>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</si>
  <si>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</si>
  <si>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</si>
  <si>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</si>
  <si>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</si>
  <si>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</si>
  <si>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</si>
  <si>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</si>
  <si>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</si>
  <si>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</si>
  <si>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</si>
  <si>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</si>
  <si>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</si>
  <si>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</si>
  <si>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</si>
  <si>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</si>
  <si>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</si>
  <si>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</si>
  <si>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</si>
  <si>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</si>
  <si>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</si>
  <si>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</si>
  <si>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</si>
  <si>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</si>
  <si>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</si>
  <si>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</si>
  <si>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</si>
  <si>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</si>
  <si>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</si>
  <si>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</si>
  <si>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</si>
  <si>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</si>
  <si>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</si>
  <si>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</si>
  <si>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</si>
  <si>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</si>
  <si>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</si>
  <si>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</si>
  <si>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</si>
  <si>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</si>
  <si>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</si>
  <si>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</si>
  <si>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</si>
  <si>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</si>
  <si>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</si>
  <si>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</si>
  <si>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</si>
  <si>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</si>
  <si>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</si>
  <si>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</si>
  <si>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</si>
  <si>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</si>
  <si>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</si>
  <si>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</si>
  <si>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</si>
  <si>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</si>
  <si>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</si>
  <si>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</si>
  <si>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</si>
  <si>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</si>
  <si>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</si>
  <si>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</si>
  <si>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</si>
  <si>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</si>
  <si>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</si>
  <si>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</si>
  <si>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</si>
  <si>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</si>
  <si>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</si>
  <si>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</si>
  <si>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</si>
  <si>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</si>
  <si>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</si>
  <si>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</si>
  <si>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</si>
  <si>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</si>
  <si>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</si>
  <si>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</si>
  <si>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</si>
  <si>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</si>
  <si>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</si>
  <si>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</si>
  <si>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</si>
  <si>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</si>
  <si>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</si>
  <si>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</si>
  <si>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</si>
  <si>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</si>
  <si>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</si>
  <si>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</si>
  <si>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</si>
  <si>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</si>
  <si>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</si>
  <si>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</si>
  <si>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</si>
  <si>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</si>
  <si>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</si>
  <si>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</si>
  <si>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</si>
  <si>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</si>
  <si>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</si>
  <si>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</si>
  <si>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</si>
  <si>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</si>
  <si>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</si>
  <si>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</si>
  <si>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</si>
  <si>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</si>
  <si>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</si>
  <si>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</si>
  <si>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</si>
  <si>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</si>
  <si>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</si>
  <si>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</si>
  <si>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</si>
  <si>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</si>
  <si>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</si>
  <si>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</si>
  <si>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</si>
  <si>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</si>
  <si>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</si>
  <si>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</si>
  <si>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</si>
  <si>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</si>
  <si>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</si>
  <si>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</si>
  <si>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</si>
  <si>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</si>
  <si>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</si>
  <si>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</si>
  <si>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</si>
  <si>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</si>
  <si>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</si>
  <si>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</si>
  <si>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</si>
  <si>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</si>
  <si>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</si>
  <si>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</si>
  <si>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</si>
  <si>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</si>
  <si>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</si>
  <si>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</si>
  <si>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</si>
  <si>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</si>
  <si>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</si>
  <si>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</si>
  <si>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</si>
  <si>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</si>
  <si>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</si>
  <si>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</si>
  <si>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</si>
  <si>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</si>
  <si>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</si>
  <si>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</si>
  <si>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</si>
  <si>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</si>
  <si>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</si>
  <si>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</si>
  <si>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</si>
  <si>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</si>
  <si>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</si>
  <si>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</si>
  <si>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</si>
  <si>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</si>
  <si>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</si>
  <si>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</si>
  <si>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</si>
  <si>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</si>
  <si>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</si>
  <si>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</si>
  <si>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</si>
  <si>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</si>
  <si>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</si>
  <si>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</si>
  <si>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</si>
  <si>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</si>
  <si>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</si>
  <si>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</si>
  <si>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</si>
  <si>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</si>
  <si>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</si>
  <si>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</si>
  <si>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</si>
  <si>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</si>
  <si>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</si>
  <si>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</si>
  <si>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</si>
  <si>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</si>
  <si>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</si>
  <si>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</si>
  <si>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</si>
  <si>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</si>
  <si>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</si>
  <si>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</si>
  <si>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</si>
  <si>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</si>
  <si>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</si>
  <si>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</si>
  <si>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</si>
  <si>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</si>
  <si>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</si>
  <si>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</si>
  <si>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</si>
  <si>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</si>
  <si>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</si>
  <si>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</si>
  <si>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</si>
  <si>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</si>
  <si>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</si>
  <si>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</si>
  <si>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</si>
  <si>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</si>
  <si>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</si>
  <si>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</si>
  <si>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</si>
  <si>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</si>
  <si>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</si>
  <si>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</si>
  <si>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</si>
  <si>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</si>
  <si>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</si>
  <si>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</si>
  <si>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</si>
  <si>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</si>
  <si>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</si>
  <si>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</si>
  <si>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</si>
  <si>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</si>
  <si>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</si>
  <si>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</si>
  <si>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</si>
  <si>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</si>
  <si>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</si>
  <si>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</si>
  <si>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</si>
  <si>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</si>
  <si>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</si>
  <si>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</si>
  <si>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</si>
  <si>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</si>
  <si>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</si>
  <si>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</si>
  <si>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</si>
  <si>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</si>
  <si>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</si>
  <si>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</si>
  <si>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</si>
  <si>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</si>
  <si>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</si>
  <si>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</si>
  <si>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</si>
  <si>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</si>
  <si>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</si>
  <si>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</si>
  <si>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</si>
  <si>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</si>
  <si>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</si>
  <si>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</si>
  <si>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</si>
  <si>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</si>
  <si>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</si>
  <si>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</si>
  <si>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</si>
  <si>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</si>
  <si>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</si>
  <si>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</si>
  <si>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</si>
  <si>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</si>
  <si>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</si>
  <si>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</si>
  <si>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</si>
  <si>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</si>
  <si>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</si>
  <si>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</si>
  <si>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</si>
  <si>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</si>
  <si>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</si>
  <si>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</si>
  <si>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</si>
  <si>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</si>
  <si>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</si>
  <si>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</si>
  <si>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</si>
  <si>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</si>
  <si>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</si>
  <si>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</si>
  <si>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</si>
  <si>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</si>
  <si>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</si>
  <si>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</si>
  <si>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</si>
  <si>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</si>
  <si>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</si>
  <si>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</si>
  <si>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</si>
  <si>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</si>
  <si>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</si>
  <si>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</si>
  <si>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</si>
  <si>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</si>
  <si>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</si>
  <si>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</si>
  <si>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</si>
  <si>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</si>
  <si>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</si>
  <si>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</si>
  <si>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</si>
  <si>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</si>
  <si>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</si>
  <si>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</si>
  <si>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</si>
  <si>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</si>
  <si>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</si>
  <si>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</si>
  <si>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</si>
  <si>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</si>
  <si>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</si>
  <si>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</si>
  <si>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</si>
  <si>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</si>
  <si>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</si>
  <si>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</si>
  <si>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</si>
  <si>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</si>
  <si>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</si>
  <si>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</si>
  <si>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</si>
  <si>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</si>
  <si>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</si>
  <si>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</si>
  <si>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</si>
  <si>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</si>
  <si>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</si>
  <si>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</si>
  <si>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</si>
  <si>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</si>
  <si>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</si>
  <si>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</si>
  <si>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</si>
  <si>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</si>
  <si>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</si>
  <si>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</si>
  <si>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</si>
  <si>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</si>
  <si>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</si>
  <si>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</si>
  <si>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</si>
  <si>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</si>
  <si>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</si>
  <si>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</si>
  <si>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</si>
  <si>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</si>
  <si>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</si>
  <si>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</si>
  <si>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</si>
  <si>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</si>
  <si>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</si>
  <si>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</si>
  <si>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</si>
  <si>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</si>
  <si>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</si>
  <si>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</si>
  <si>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</si>
  <si>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</si>
  <si>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</si>
  <si>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</si>
  <si>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</si>
  <si>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</si>
  <si>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</si>
  <si>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</si>
  <si>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</si>
  <si>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</si>
  <si>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</si>
  <si>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</si>
  <si>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</si>
  <si>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</si>
  <si>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</si>
  <si>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</si>
  <si>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</si>
  <si>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</si>
  <si>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</si>
  <si>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</si>
  <si>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</si>
  <si>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</si>
  <si>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</si>
  <si>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</si>
  <si>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</si>
  <si>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</si>
  <si>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</si>
  <si>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</si>
  <si>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</si>
  <si>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</si>
  <si>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</si>
  <si>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</si>
  <si>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</si>
  <si>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</si>
  <si>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</si>
  <si>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</si>
  <si>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</si>
  <si>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</si>
  <si>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</si>
  <si>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</si>
  <si>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</si>
  <si>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</si>
  <si>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</si>
  <si>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</si>
  <si>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</si>
  <si>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</si>
  <si>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</si>
  <si>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</si>
  <si>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</si>
  <si>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</si>
  <si>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</si>
  <si>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</si>
  <si>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</si>
  <si>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</si>
  <si>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</si>
  <si>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</si>
  <si>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</si>
  <si>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</si>
  <si>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</si>
  <si>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</si>
  <si>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</si>
  <si>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</si>
  <si>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</si>
  <si>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</si>
  <si>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</si>
  <si>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</si>
  <si>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</si>
  <si>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</si>
  <si>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</si>
  <si>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</si>
  <si>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</si>
  <si>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</si>
  <si>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</si>
  <si>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</si>
  <si>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</si>
  <si>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</si>
  <si>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</si>
  <si>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</si>
  <si>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</si>
  <si>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</si>
  <si>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</si>
  <si>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</si>
  <si>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</si>
  <si>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</si>
  <si>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</si>
  <si>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</si>
  <si>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</si>
  <si>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</si>
  <si>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</si>
  <si>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</si>
  <si>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</si>
  <si>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</si>
  <si>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</si>
  <si>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</si>
  <si>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</si>
  <si>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</si>
  <si>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</si>
  <si>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</si>
  <si>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</si>
  <si>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</si>
  <si>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</si>
  <si>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</si>
  <si>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</si>
  <si>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</si>
  <si>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</si>
  <si>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</si>
  <si>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</si>
  <si>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</si>
  <si>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</si>
  <si>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</si>
  <si>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</si>
  <si>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</si>
  <si>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</si>
  <si>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</si>
  <si>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</si>
  <si>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</si>
  <si>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</si>
  <si>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</si>
  <si>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</si>
  <si>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</si>
  <si>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</si>
  <si>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</si>
  <si>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</si>
  <si>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</si>
  <si>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</si>
  <si>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</si>
  <si>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</si>
  <si>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</si>
  <si>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</si>
  <si>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</si>
  <si>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</si>
  <si>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</si>
  <si>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</si>
  <si>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</si>
  <si>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</si>
  <si>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</si>
  <si>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</si>
  <si>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</si>
  <si>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</si>
  <si>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</si>
  <si>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</si>
  <si>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</si>
  <si>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</si>
  <si>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</si>
  <si>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</si>
  <si>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</si>
  <si>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</si>
  <si>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</si>
  <si>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</si>
  <si>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</si>
  <si>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</si>
  <si>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</si>
  <si>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</si>
  <si>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</si>
  <si>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</si>
  <si>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</si>
  <si>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</si>
  <si>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</si>
  <si>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</si>
  <si>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</si>
  <si>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</si>
  <si>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</si>
  <si>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</si>
  <si>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</si>
  <si>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</si>
  <si>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</si>
  <si>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</si>
  <si>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</si>
  <si>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</si>
  <si>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</si>
  <si>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</si>
  <si>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</si>
  <si>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</si>
  <si>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</si>
  <si>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</si>
  <si>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</si>
  <si>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</si>
  <si>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</si>
  <si>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</si>
  <si>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</si>
  <si>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</si>
  <si>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</si>
  <si>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</si>
  <si>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</si>
  <si>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</si>
  <si>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</si>
  <si>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</si>
  <si>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</si>
  <si>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</si>
  <si>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</si>
  <si>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</si>
  <si>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</si>
  <si>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</si>
  <si>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</si>
  <si>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</si>
  <si>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</si>
  <si>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</si>
  <si>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</si>
  <si>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</si>
  <si>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</si>
  <si>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</si>
  <si>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</si>
  <si>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</si>
  <si>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</si>
  <si>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</si>
  <si>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</si>
  <si>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</si>
  <si>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</si>
  <si>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</si>
  <si>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</si>
  <si>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</si>
  <si>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</si>
  <si>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</si>
  <si>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</si>
  <si>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</si>
  <si>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</si>
  <si>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</si>
  <si>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</si>
  <si>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</si>
  <si>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</si>
  <si>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</si>
  <si>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</si>
  <si>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</si>
  <si>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</si>
  <si>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</si>
  <si>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</si>
  <si>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</si>
  <si>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</si>
  <si>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</si>
  <si>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</si>
  <si>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</si>
  <si>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</si>
  <si>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</si>
  <si>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</si>
  <si>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</si>
  <si>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</si>
  <si>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</si>
  <si>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</si>
  <si>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</si>
  <si>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</si>
  <si>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</si>
  <si>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</si>
  <si>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</si>
  <si>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</si>
  <si>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</si>
  <si>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</si>
  <si>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</si>
  <si>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</si>
  <si>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</si>
  <si>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</si>
  <si>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</si>
  <si>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</si>
  <si>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</si>
  <si>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</si>
  <si>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</si>
  <si>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</si>
  <si>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</si>
  <si>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</si>
  <si>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</si>
  <si>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</si>
  <si>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</si>
  <si>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</si>
  <si>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</si>
  <si>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</si>
  <si>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</si>
  <si>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</si>
  <si>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</si>
  <si>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</si>
  <si>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</si>
  <si>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</si>
  <si>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</si>
  <si>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</si>
  <si>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</si>
  <si>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</si>
  <si>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</si>
  <si>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</si>
  <si>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</si>
  <si>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</si>
  <si>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</si>
  <si>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</si>
  <si>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</si>
  <si>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</si>
  <si>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</si>
  <si>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</si>
  <si>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</si>
  <si>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</si>
  <si>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</si>
  <si>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</si>
  <si>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</si>
  <si>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</si>
  <si>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</si>
  <si>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</si>
  <si>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</si>
  <si>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</si>
  <si>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</si>
  <si>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</si>
  <si>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</si>
  <si>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</si>
  <si>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</si>
  <si>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</si>
  <si>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</si>
  <si>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</si>
  <si>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</si>
  <si>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</si>
  <si>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</si>
  <si>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</si>
  <si>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</si>
  <si>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</si>
  <si>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</si>
  <si>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</si>
  <si>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</si>
  <si>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</si>
  <si>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</si>
  <si>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</si>
  <si>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</si>
  <si>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</si>
  <si>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</si>
  <si>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</si>
  <si>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</si>
  <si>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</si>
  <si>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</si>
  <si>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</si>
  <si>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</si>
  <si>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</si>
  <si>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</si>
  <si>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</si>
  <si>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</si>
  <si>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</si>
  <si>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</si>
  <si>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</si>
  <si>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</si>
  <si>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</si>
  <si>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</si>
  <si>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</si>
  <si>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</si>
  <si>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</si>
  <si>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</si>
  <si>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</si>
  <si>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</si>
  <si>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</si>
  <si>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</si>
  <si>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</si>
  <si>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</si>
  <si>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</si>
  <si>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</si>
  <si>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</si>
  <si>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</si>
  <si>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</si>
  <si>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</si>
  <si>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</si>
  <si>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</si>
  <si>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</si>
  <si>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</si>
  <si>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</si>
  <si>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</si>
  <si>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</si>
  <si>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</si>
  <si>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</si>
  <si>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</si>
  <si>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</si>
  <si>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</si>
  <si>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</si>
  <si>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</si>
  <si>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</si>
  <si>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</si>
  <si>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</si>
  <si>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</si>
  <si>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</si>
  <si>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</si>
  <si>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</si>
  <si>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</si>
  <si>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</si>
  <si>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</si>
  <si>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</si>
  <si>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</si>
  <si>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</si>
  <si>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</si>
  <si>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</si>
  <si>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</si>
  <si>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</si>
  <si>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</si>
  <si>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</si>
  <si>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</si>
  <si>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</si>
  <si>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</si>
  <si>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</si>
  <si>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</si>
  <si>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</si>
  <si>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</si>
  <si>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</si>
  <si>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</si>
  <si>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</si>
  <si>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</si>
  <si>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</si>
  <si>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</si>
  <si>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</si>
  <si>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</si>
  <si>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</si>
  <si>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</si>
  <si>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</si>
  <si>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</si>
  <si>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</si>
  <si>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</si>
  <si>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</si>
  <si>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</si>
  <si>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</si>
  <si>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</si>
  <si>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</si>
  <si>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</si>
  <si>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</si>
  <si>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</si>
  <si>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</si>
  <si>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</si>
  <si>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</si>
  <si>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</si>
  <si>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</si>
  <si>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</si>
  <si>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</si>
  <si>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</si>
  <si>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</si>
  <si>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</si>
  <si>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</si>
  <si>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</si>
  <si>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</si>
  <si>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</si>
  <si>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</si>
  <si>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</si>
  <si>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</si>
  <si>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</si>
  <si>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</si>
  <si>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</si>
  <si>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</si>
  <si>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</si>
  <si>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</si>
  <si>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</si>
  <si>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</si>
  <si>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</si>
  <si>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</si>
  <si>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</si>
  <si>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</si>
  <si>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</si>
  <si>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</si>
  <si>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</si>
  <si>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</si>
  <si>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</si>
  <si>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</si>
  <si>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</si>
  <si>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</si>
  <si>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</si>
  <si>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</si>
  <si>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</si>
  <si>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</si>
  <si>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</si>
  <si>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</si>
  <si>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</si>
  <si>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</si>
  <si>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</si>
  <si>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</si>
  <si>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</si>
  <si>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</si>
  <si>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</si>
  <si>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</si>
  <si>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</si>
  <si>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</si>
  <si>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</si>
  <si>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</si>
  <si>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</si>
  <si>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</si>
  <si>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</si>
  <si>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</si>
  <si>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</si>
  <si>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</si>
  <si>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</si>
  <si>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</si>
  <si>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</si>
  <si>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</si>
  <si>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</si>
  <si>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</si>
  <si>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</si>
  <si>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</si>
  <si>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</si>
  <si>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</si>
  <si>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</si>
  <si>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</si>
  <si>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</si>
  <si>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</si>
  <si>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</si>
  <si>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</si>
  <si>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</si>
  <si>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</si>
  <si>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</si>
  <si>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</si>
  <si>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</si>
  <si>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</si>
  <si>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</si>
  <si>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</si>
  <si>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</si>
  <si>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</si>
  <si>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</si>
  <si>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</si>
  <si>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</si>
  <si>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</si>
  <si>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</si>
  <si>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</si>
  <si>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</si>
  <si>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</si>
  <si>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</si>
  <si>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</si>
  <si>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</si>
  <si>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</si>
  <si>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</si>
  <si>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</si>
  <si>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</si>
  <si>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</si>
  <si>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</si>
  <si>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</si>
  <si>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</si>
  <si>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</si>
  <si>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</si>
  <si>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</si>
  <si>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</si>
  <si>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</si>
  <si>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</si>
  <si>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</si>
  <si>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</si>
  <si>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</si>
  <si>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</si>
  <si>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</si>
  <si>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</si>
  <si>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</si>
  <si>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</si>
  <si>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</si>
  <si>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</si>
  <si>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</si>
  <si>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</si>
  <si>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</si>
  <si>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</si>
  <si>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</si>
  <si>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</si>
  <si>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</si>
  <si>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</si>
  <si>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</si>
  <si>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</si>
  <si>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</si>
  <si>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</si>
  <si>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</si>
  <si>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</si>
  <si>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</si>
  <si>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</si>
  <si>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</si>
  <si>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</si>
  <si>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</si>
  <si>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</si>
  <si>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</si>
  <si>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</si>
  <si>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</si>
  <si>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</si>
  <si>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</si>
  <si>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</si>
  <si>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</si>
  <si>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</si>
  <si>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</si>
  <si>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</si>
  <si>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</si>
  <si>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</si>
  <si>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</si>
  <si>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</si>
  <si>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</si>
  <si>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</si>
  <si>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</si>
  <si>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</si>
  <si>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</si>
  <si>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</si>
  <si>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</si>
  <si>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</si>
  <si>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</si>
  <si>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</si>
  <si>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</si>
  <si>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</si>
  <si>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</si>
  <si>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</si>
  <si>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</si>
  <si>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</si>
  <si>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</si>
  <si>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</si>
  <si>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</si>
  <si>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</si>
  <si>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</si>
  <si>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</si>
  <si>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</si>
  <si>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</si>
  <si>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</si>
  <si>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</si>
  <si>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</si>
  <si>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</si>
  <si>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</si>
  <si>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</si>
  <si>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</si>
  <si>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</si>
  <si>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</si>
  <si>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</si>
  <si>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</si>
  <si>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</si>
  <si>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</si>
  <si>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</si>
  <si>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</si>
  <si>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</si>
  <si>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</si>
  <si>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</si>
  <si>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</si>
  <si>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</si>
  <si>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</si>
  <si>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</si>
  <si>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</si>
  <si>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</si>
  <si>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</si>
  <si>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</si>
  <si>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</si>
  <si>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</si>
  <si>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</si>
  <si>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</si>
  <si>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</si>
  <si>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</si>
  <si>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</si>
  <si>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</si>
  <si>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</si>
  <si>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</si>
  <si>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</si>
  <si>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</si>
  <si>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</si>
  <si>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</si>
  <si>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</si>
  <si>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</si>
  <si>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</si>
  <si>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</si>
  <si>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</si>
  <si>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</si>
  <si>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</si>
  <si>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</si>
  <si>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</si>
  <si>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</si>
  <si>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</si>
  <si>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</si>
  <si>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</si>
  <si>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</si>
  <si>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</si>
  <si>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</si>
  <si>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</si>
  <si>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</si>
  <si>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</si>
  <si>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</si>
  <si>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</si>
  <si>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</si>
  <si>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</si>
  <si>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</si>
  <si>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</si>
  <si>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</si>
  <si>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</si>
  <si>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</si>
  <si>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</si>
  <si>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</si>
  <si>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</si>
  <si>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</si>
  <si>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</si>
  <si>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</si>
  <si>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</si>
  <si>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</si>
  <si>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</si>
  <si>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</si>
  <si>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</si>
  <si>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</si>
  <si>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</si>
  <si>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</si>
  <si>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</si>
  <si>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</si>
  <si>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</si>
  <si>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</si>
  <si>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</si>
  <si>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</si>
  <si>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</si>
  <si>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</si>
  <si>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</si>
  <si>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</si>
  <si>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</si>
  <si>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</si>
  <si>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</si>
  <si>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</si>
  <si>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</si>
  <si>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</si>
  <si>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</si>
  <si>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</si>
  <si>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</si>
  <si>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</si>
  <si>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</si>
  <si>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</si>
  <si>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</si>
  <si>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</si>
  <si>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</si>
  <si>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</si>
  <si>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</si>
  <si>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</si>
  <si>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</si>
  <si>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</si>
  <si>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</si>
  <si>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</si>
  <si>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</si>
  <si>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</si>
  <si>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</si>
  <si>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</si>
  <si>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</si>
  <si>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</si>
  <si>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</si>
  <si>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</si>
  <si>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</si>
  <si>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</si>
  <si>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</si>
  <si>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</si>
  <si>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</si>
  <si>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</si>
  <si>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</si>
  <si>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</si>
  <si>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</si>
  <si>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</si>
  <si>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</si>
  <si>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</si>
  <si>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</si>
  <si>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</si>
  <si>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</si>
  <si>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</si>
  <si>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</si>
  <si>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</si>
  <si>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</si>
  <si>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</si>
  <si>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</si>
  <si>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</si>
  <si>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</si>
  <si>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</si>
  <si>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</si>
  <si>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</si>
  <si>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</si>
  <si>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</si>
  <si>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</si>
  <si>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</si>
  <si>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</si>
  <si>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</si>
  <si>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</si>
  <si>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</si>
  <si>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</si>
  <si>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</si>
  <si>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</si>
  <si>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</si>
  <si>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</si>
  <si>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</si>
  <si>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</si>
  <si>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</si>
  <si>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</si>
  <si>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</si>
  <si>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</si>
  <si>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</si>
  <si>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</si>
  <si>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</si>
  <si>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</si>
  <si>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</si>
  <si>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</si>
  <si>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</si>
  <si>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</si>
  <si>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</si>
  <si>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</si>
  <si>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</si>
  <si>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</si>
  <si>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</si>
  <si>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</si>
  <si>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</si>
  <si>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</si>
  <si>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</si>
  <si>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</si>
  <si>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</si>
  <si>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</si>
  <si>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</si>
  <si>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</si>
  <si>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</si>
  <si>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</si>
  <si>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</si>
  <si>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</si>
  <si>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</si>
  <si>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</si>
  <si>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</si>
  <si>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</si>
  <si>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</si>
  <si>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</si>
  <si>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</si>
  <si>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</si>
  <si>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</si>
  <si>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</si>
  <si>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</si>
  <si>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</si>
  <si>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</si>
  <si>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</si>
  <si>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</si>
  <si>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</si>
  <si>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</si>
  <si>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</si>
  <si>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</si>
  <si>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</si>
  <si>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</si>
  <si>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</si>
  <si>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</si>
  <si>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</si>
  <si>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</si>
  <si>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</si>
  <si>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</si>
  <si>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</si>
  <si>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</si>
  <si>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</si>
  <si>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</si>
  <si>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</si>
  <si>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</si>
  <si>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</si>
  <si>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</si>
  <si>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</si>
  <si>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</si>
  <si>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</si>
  <si>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</si>
  <si>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</si>
  <si>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</si>
  <si>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</si>
  <si>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</si>
  <si>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</si>
  <si>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</si>
  <si>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</si>
  <si>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</si>
  <si>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</si>
  <si>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</si>
  <si>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</si>
  <si>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</si>
  <si>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</si>
  <si>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</si>
  <si>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</si>
  <si>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</si>
  <si>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</si>
  <si>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</si>
  <si>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</si>
  <si>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</si>
  <si>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</si>
  <si>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</si>
  <si>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</si>
  <si>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</si>
  <si>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</si>
  <si>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</si>
  <si>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</si>
  <si>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</si>
  <si>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</si>
  <si>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</si>
  <si>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</si>
  <si>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</si>
  <si>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</si>
  <si>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</si>
  <si>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</si>
  <si>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</si>
  <si>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</si>
  <si>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</si>
  <si>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</si>
  <si>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</si>
  <si>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</si>
  <si>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</si>
  <si>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</si>
  <si>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</si>
  <si>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</si>
  <si>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</si>
  <si>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</si>
  <si>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</si>
  <si>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</si>
  <si>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</si>
  <si>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</si>
  <si>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</si>
  <si>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</si>
  <si>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</si>
  <si>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</si>
  <si>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</si>
  <si>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</si>
  <si>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</si>
  <si>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</si>
  <si>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</si>
  <si>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</si>
  <si>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</si>
  <si>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</si>
  <si>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</si>
  <si>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</si>
  <si>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</si>
  <si>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</si>
  <si>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</si>
  <si>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</si>
  <si>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</si>
  <si>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</si>
  <si>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</si>
  <si>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</si>
  <si>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</si>
  <si>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</si>
  <si>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</si>
  <si>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</si>
  <si>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</si>
  <si>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</si>
  <si>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</si>
  <si>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</si>
  <si>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</si>
  <si>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</si>
  <si>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</si>
  <si>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</si>
  <si>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</si>
  <si>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</si>
  <si>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</si>
  <si>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</si>
  <si>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</si>
  <si>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</si>
  <si>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</si>
  <si>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</si>
  <si>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</si>
  <si>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</si>
  <si>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</si>
  <si>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</si>
  <si>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</si>
  <si>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</si>
  <si>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</si>
  <si>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</si>
  <si>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</si>
  <si>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</si>
  <si>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</si>
  <si>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</si>
  <si>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</si>
  <si>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</si>
  <si>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</si>
  <si>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</si>
  <si>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</si>
  <si>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</si>
  <si>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</si>
  <si>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</si>
  <si>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</si>
  <si>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</si>
  <si>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</si>
  <si>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</si>
  <si>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</si>
  <si>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</si>
  <si>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</si>
  <si>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</si>
  <si>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</si>
  <si>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</si>
  <si>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</si>
  <si>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</si>
  <si>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</si>
  <si>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</si>
  <si>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</si>
  <si>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</si>
  <si>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</si>
  <si>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</si>
  <si>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</si>
  <si>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</si>
  <si>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</si>
  <si>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</si>
  <si>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</si>
  <si>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</si>
  <si>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</si>
  <si>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</si>
  <si>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</si>
  <si>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</si>
  <si>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</si>
  <si>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</si>
  <si>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</si>
  <si>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</si>
  <si>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</si>
  <si>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</si>
  <si>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</si>
  <si>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</si>
  <si>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</si>
  <si>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</si>
  <si>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</si>
  <si>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</si>
  <si>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</si>
  <si>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</si>
  <si>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</si>
  <si>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</si>
  <si>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</si>
  <si>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</si>
  <si>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</si>
  <si>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</si>
  <si>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</si>
  <si>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</si>
  <si>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</si>
  <si>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</si>
  <si>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</si>
  <si>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</si>
  <si>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</si>
  <si>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</si>
  <si>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</si>
  <si>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</si>
  <si>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</si>
  <si>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</si>
  <si>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</si>
  <si>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</si>
  <si>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</si>
  <si>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</si>
  <si>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</si>
  <si>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</si>
  <si>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</si>
  <si>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</si>
  <si>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</si>
  <si>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</si>
  <si>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</si>
  <si>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</si>
  <si>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</si>
  <si>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</si>
  <si>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</si>
  <si>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</si>
  <si>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</si>
  <si>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</si>
  <si>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</si>
  <si>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</si>
  <si>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</si>
  <si>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</si>
  <si>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</si>
  <si>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</si>
  <si>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</si>
  <si>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</si>
  <si>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</si>
  <si>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</si>
  <si>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</si>
  <si>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</si>
  <si>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</si>
  <si>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</si>
  <si>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</si>
  <si>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</si>
  <si>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</si>
  <si>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</si>
  <si>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</si>
  <si>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</si>
  <si>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</si>
  <si>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</si>
  <si>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</si>
  <si>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</si>
  <si>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</si>
  <si>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</si>
  <si>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</si>
  <si>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</si>
  <si>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</si>
  <si>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</si>
  <si>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</si>
  <si>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</si>
  <si>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</si>
  <si>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</si>
  <si>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</si>
  <si>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</si>
  <si>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</si>
  <si>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</si>
  <si>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</si>
  <si>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</si>
  <si>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</si>
  <si>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</si>
  <si>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</si>
  <si>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</si>
  <si>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</si>
  <si>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</si>
  <si>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</si>
  <si>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</si>
  <si>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</si>
  <si>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</si>
  <si>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</si>
  <si>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</si>
  <si>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</si>
  <si>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</si>
  <si>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</si>
  <si>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</si>
  <si>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</si>
  <si>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</si>
  <si>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</si>
  <si>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</si>
  <si>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</si>
  <si>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</si>
  <si>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</si>
  <si>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</si>
  <si>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</si>
  <si>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</si>
  <si>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</si>
  <si>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</si>
  <si>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</si>
  <si>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</si>
  <si>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</si>
  <si>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</si>
  <si>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</si>
  <si>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</si>
  <si>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</si>
  <si>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</si>
  <si>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</si>
  <si>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</si>
  <si>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</si>
  <si>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</si>
  <si>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</si>
  <si>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</si>
  <si>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</si>
  <si>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</si>
  <si>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</si>
  <si>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</si>
  <si>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</si>
  <si>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</si>
  <si>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</si>
  <si>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</si>
  <si>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</si>
  <si>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</si>
  <si>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</si>
  <si>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</si>
  <si>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</si>
  <si>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</si>
  <si>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</si>
  <si>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</si>
  <si>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</si>
  <si>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</si>
  <si>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</si>
  <si>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</si>
  <si>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</si>
  <si>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</si>
  <si>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</si>
  <si>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</si>
  <si>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</si>
  <si>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</si>
  <si>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</si>
  <si>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</si>
  <si>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</si>
  <si>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</si>
  <si>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</si>
  <si>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</si>
  <si>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</si>
  <si>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</si>
  <si>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</si>
  <si>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</si>
  <si>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</si>
  <si>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</si>
  <si>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</si>
  <si>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</si>
  <si>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</si>
  <si>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</si>
  <si>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</si>
  <si>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</si>
  <si>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</si>
  <si>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</si>
  <si>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</si>
  <si>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</si>
  <si>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</si>
  <si>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</si>
  <si>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</si>
  <si>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</si>
  <si>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</si>
  <si>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</si>
  <si>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</si>
  <si>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</si>
  <si>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</si>
  <si>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</si>
  <si>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</si>
  <si>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</si>
  <si>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</si>
  <si>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</si>
  <si>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</si>
  <si>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</si>
  <si>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</si>
  <si>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</si>
  <si>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</si>
  <si>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</si>
  <si>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</si>
  <si>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</si>
  <si>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</si>
  <si>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</si>
  <si>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</si>
  <si>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</si>
  <si>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</si>
  <si>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</si>
  <si>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</si>
  <si>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</si>
  <si>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</si>
  <si>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</si>
  <si>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</si>
  <si>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</si>
  <si>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</si>
  <si>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</si>
  <si>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</si>
  <si>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</si>
  <si>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</si>
  <si>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</si>
  <si>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</si>
  <si>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</si>
  <si>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</si>
  <si>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</si>
  <si>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</si>
  <si>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</si>
  <si>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</si>
  <si>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</si>
  <si>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</si>
  <si>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</si>
  <si>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</si>
  <si>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</si>
  <si>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</si>
  <si>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</si>
  <si>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</si>
  <si>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</si>
  <si>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</si>
  <si>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</si>
  <si>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</si>
  <si>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</si>
  <si>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</si>
  <si>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</si>
  <si>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</si>
  <si>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</si>
  <si>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</si>
  <si>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</si>
  <si>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</si>
  <si>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</si>
  <si>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</si>
  <si>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</si>
  <si>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</si>
  <si>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</si>
  <si>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</si>
  <si>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</si>
  <si>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</si>
  <si>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</si>
  <si>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</si>
  <si>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</si>
  <si>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</si>
  <si>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</si>
  <si>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</si>
  <si>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</si>
  <si>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</si>
  <si>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</si>
  <si>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</si>
  <si>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</si>
  <si>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</si>
  <si>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</si>
  <si>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</si>
  <si>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</si>
  <si>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</si>
  <si>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</si>
  <si>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</si>
  <si>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</si>
  <si>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</si>
  <si>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</si>
  <si>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</si>
  <si>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</si>
  <si>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</si>
  <si>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</si>
  <si>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</si>
  <si>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</si>
  <si>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</si>
  <si>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</si>
  <si>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</si>
  <si>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</si>
  <si>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</si>
  <si>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</si>
  <si>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</si>
  <si>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</si>
  <si>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</si>
  <si>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</si>
  <si>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</si>
  <si>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</si>
  <si>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</si>
  <si>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</si>
  <si>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</si>
  <si>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</si>
  <si>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</si>
  <si>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</si>
  <si>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</si>
  <si>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</si>
  <si>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</si>
  <si>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</si>
  <si>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</si>
  <si>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</si>
  <si>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</si>
  <si>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</si>
  <si>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</si>
  <si>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</si>
  <si>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</si>
  <si>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</si>
  <si>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</si>
  <si>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</si>
  <si>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</si>
  <si>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</si>
  <si>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</si>
  <si>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</si>
  <si>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</si>
  <si>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</si>
  <si>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</si>
  <si>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</si>
  <si>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</si>
  <si>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</si>
  <si>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</si>
  <si>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</si>
  <si>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</si>
  <si>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</si>
  <si>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</si>
  <si>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</si>
  <si>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</si>
  <si>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</si>
  <si>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</si>
  <si>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</si>
  <si>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</si>
  <si>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</si>
  <si>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</si>
  <si>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</si>
  <si>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</si>
  <si>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</si>
  <si>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</si>
  <si>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</si>
  <si>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</si>
  <si>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</si>
  <si>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</si>
  <si>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</si>
  <si>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</si>
  <si>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</si>
  <si>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</si>
  <si>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</si>
  <si>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</si>
  <si>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</si>
  <si>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</si>
  <si>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</si>
  <si>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</si>
  <si>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</si>
  <si>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</si>
  <si>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</si>
  <si>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</si>
  <si>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</si>
  <si>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</si>
  <si>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</si>
  <si>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</si>
  <si>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</si>
  <si>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</si>
  <si>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</si>
  <si>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</si>
  <si>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</si>
  <si>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</si>
  <si>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</si>
  <si>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</si>
  <si>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</si>
  <si>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</si>
  <si>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</si>
  <si>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</si>
  <si>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</si>
  <si>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</si>
  <si>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</si>
  <si>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</si>
  <si>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</si>
  <si>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</si>
  <si>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</si>
  <si>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</si>
  <si>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</si>
  <si>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</si>
  <si>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</si>
  <si>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</si>
  <si>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</si>
  <si>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</si>
  <si>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</si>
  <si>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</si>
  <si>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</si>
  <si>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</si>
  <si>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</si>
  <si>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</si>
  <si>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</si>
  <si>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</si>
  <si>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</si>
  <si>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</si>
  <si>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</si>
  <si>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</si>
  <si>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</si>
  <si>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</si>
  <si>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</si>
  <si>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</si>
  <si>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</si>
  <si>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</si>
  <si>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</si>
  <si>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</si>
  <si>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</si>
  <si>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</si>
  <si>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</si>
  <si>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</si>
  <si>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</si>
  <si>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</si>
  <si>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</si>
  <si>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</si>
  <si>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</si>
  <si>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</si>
  <si>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</si>
  <si>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</si>
  <si>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</si>
  <si>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</si>
  <si>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</si>
  <si>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</si>
  <si>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</si>
  <si>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</si>
  <si>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</si>
  <si>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</si>
  <si>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</si>
  <si>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</si>
  <si>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</si>
  <si>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</si>
  <si>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</si>
  <si>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</si>
  <si>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</si>
  <si>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</si>
  <si>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</si>
  <si>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</si>
  <si>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</si>
  <si>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</si>
  <si>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</si>
  <si>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</si>
  <si>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</si>
  <si>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</si>
  <si>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</si>
  <si>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</si>
  <si>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</si>
  <si>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</si>
  <si>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</si>
  <si>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</si>
  <si>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</si>
  <si>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</si>
  <si>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</si>
  <si>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</si>
  <si>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</si>
  <si>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</si>
  <si>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</si>
  <si>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</si>
  <si>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</si>
  <si>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</si>
  <si>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</si>
  <si>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</si>
  <si>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</si>
  <si>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</si>
  <si>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</si>
  <si>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</si>
  <si>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</si>
  <si>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</si>
  <si>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</si>
  <si>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</si>
  <si>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</si>
  <si>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</si>
  <si>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</si>
  <si>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</si>
  <si>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</si>
  <si>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</si>
  <si>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</si>
  <si>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</si>
  <si>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</si>
  <si>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</si>
  <si>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</si>
  <si>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</si>
  <si>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</si>
  <si>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</si>
  <si>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</si>
  <si>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</si>
  <si>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</si>
  <si>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</si>
  <si>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</si>
  <si>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</si>
  <si>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</si>
  <si>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</si>
  <si>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</si>
  <si>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</si>
  <si>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</si>
  <si>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</si>
  <si>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</si>
  <si>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</si>
  <si>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</si>
  <si>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</si>
  <si>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</si>
  <si>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</si>
  <si>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</si>
  <si>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</si>
  <si>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</si>
  <si>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</si>
  <si>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</si>
  <si>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</si>
  <si>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</si>
  <si>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</si>
  <si>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</si>
  <si>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</si>
  <si>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</si>
  <si>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</si>
  <si>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</si>
  <si>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</si>
  <si>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</si>
  <si>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</si>
  <si>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</si>
  <si>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</si>
  <si>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</si>
  <si>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</si>
  <si>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</si>
  <si>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</si>
  <si>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</si>
  <si>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</si>
  <si>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</si>
  <si>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</si>
  <si>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</si>
  <si>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</si>
  <si>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</si>
  <si>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</si>
  <si>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</si>
  <si>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</si>
  <si>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</si>
  <si>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</si>
  <si>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</si>
  <si>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</si>
  <si>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</si>
  <si>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</si>
  <si>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</si>
  <si>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</si>
  <si>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</si>
  <si>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</si>
  <si>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</si>
  <si>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</si>
  <si>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</si>
  <si>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</si>
  <si>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</si>
  <si>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</si>
  <si>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</si>
  <si>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</si>
  <si>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</si>
  <si>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</si>
  <si>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</si>
  <si>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</si>
  <si>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</si>
  <si>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</si>
  <si>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</si>
  <si>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</si>
  <si>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</si>
  <si>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</si>
  <si>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</si>
  <si>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</si>
  <si>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</si>
  <si>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</si>
  <si>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</si>
  <si>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</si>
  <si>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</si>
  <si>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</si>
  <si>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</si>
  <si>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</si>
  <si>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</si>
  <si>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</si>
  <si>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</si>
  <si>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</si>
  <si>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</si>
  <si>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</si>
  <si>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</si>
  <si>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</si>
  <si>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</si>
  <si>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</si>
  <si>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</si>
  <si>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</si>
  <si>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</si>
  <si>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</si>
  <si>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</si>
  <si>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</si>
  <si>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</si>
  <si>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</si>
  <si>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</si>
  <si>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</si>
  <si>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</si>
  <si>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</si>
  <si>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</si>
  <si>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</si>
  <si>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</si>
  <si>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</si>
  <si>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</si>
  <si>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</si>
  <si>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</si>
  <si>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</si>
  <si>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</si>
  <si>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</si>
  <si>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</si>
  <si>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</si>
  <si>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</si>
  <si>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</si>
  <si>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</si>
  <si>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</si>
  <si>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</si>
  <si>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</si>
  <si>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</si>
  <si>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</si>
  <si>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</si>
  <si>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</si>
  <si>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</si>
  <si>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</si>
  <si>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</si>
  <si>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</si>
  <si>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</si>
  <si>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</si>
  <si>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</si>
  <si>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</si>
  <si>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</si>
  <si>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</si>
  <si>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</si>
  <si>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</si>
  <si>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</si>
  <si>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</si>
  <si>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</si>
  <si>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</si>
  <si>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</si>
  <si>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</si>
  <si>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</si>
  <si>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</si>
  <si>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</si>
  <si>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</si>
  <si>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</si>
  <si>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</si>
  <si>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</si>
  <si>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</si>
  <si>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</si>
  <si>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</si>
  <si>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</si>
  <si>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</si>
  <si>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</si>
  <si>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</si>
  <si>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</si>
  <si>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</si>
  <si>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</si>
  <si>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</si>
  <si>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</si>
  <si>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</si>
  <si>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</si>
  <si>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</si>
  <si>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</si>
  <si>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</si>
  <si>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</si>
  <si>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</si>
  <si>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</si>
  <si>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</si>
  <si>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</si>
  <si>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</si>
  <si>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</si>
  <si>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</si>
  <si>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</si>
  <si>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</si>
  <si>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</si>
  <si>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</si>
  <si>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</si>
  <si>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</si>
  <si>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</si>
  <si>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</si>
  <si>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</si>
  <si>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</si>
  <si>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</si>
  <si>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</si>
  <si>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</si>
  <si>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</si>
  <si>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</si>
  <si>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</si>
  <si>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</si>
  <si>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</si>
  <si>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</si>
  <si>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</si>
  <si>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</si>
  <si>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</si>
  <si>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</si>
  <si>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</si>
  <si>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</si>
  <si>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</si>
  <si>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</si>
  <si>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</si>
  <si>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</si>
  <si>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</si>
  <si>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</si>
  <si>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</si>
  <si>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</si>
  <si>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</si>
  <si>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</si>
  <si>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</si>
  <si>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</si>
  <si>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</si>
  <si>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</si>
  <si>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</si>
  <si>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</si>
  <si>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</si>
  <si>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</si>
  <si>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</si>
  <si>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</si>
  <si>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</si>
  <si>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</si>
  <si>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</si>
  <si>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</si>
  <si>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</si>
  <si>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</si>
  <si>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</si>
  <si>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</si>
  <si>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</si>
  <si>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</si>
  <si>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</si>
  <si>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</si>
  <si>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</si>
  <si>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</si>
  <si>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</si>
  <si>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</si>
  <si>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</si>
  <si>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</si>
  <si>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</si>
  <si>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</si>
  <si>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</si>
  <si>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</si>
  <si>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</si>
  <si>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</si>
  <si>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</si>
  <si>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</si>
  <si>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</si>
  <si>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</si>
  <si>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</si>
  <si>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</si>
  <si>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</si>
  <si>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</si>
  <si>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</si>
  <si>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</si>
  <si>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</si>
  <si>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</si>
  <si>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</si>
  <si>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</si>
  <si>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</si>
  <si>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</si>
  <si>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</si>
  <si>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</si>
  <si>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</si>
  <si>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</si>
  <si>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</si>
  <si>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</si>
  <si>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</si>
  <si>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</si>
  <si>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</si>
  <si>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</si>
  <si>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</si>
  <si>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</si>
  <si>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</si>
  <si>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</si>
  <si>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</si>
  <si>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</si>
  <si>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</si>
  <si>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</si>
  <si>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</si>
  <si>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</si>
  <si>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</si>
  <si>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</si>
  <si>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</si>
  <si>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</si>
  <si>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</si>
  <si>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</si>
  <si>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</si>
  <si>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</si>
  <si>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</si>
  <si>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</si>
  <si>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</si>
  <si>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</si>
  <si>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</si>
  <si>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</si>
  <si>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</si>
  <si>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</si>
  <si>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</si>
  <si>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</si>
  <si>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</si>
  <si>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</si>
  <si>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</si>
  <si>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</si>
  <si>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</si>
  <si>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</si>
  <si>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</si>
  <si>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</si>
  <si>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</si>
  <si>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</si>
  <si>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</si>
  <si>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</si>
  <si>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</si>
  <si>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</si>
  <si>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</si>
  <si>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</si>
  <si>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</si>
  <si>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</si>
  <si>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</si>
  <si>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</si>
  <si>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</si>
  <si>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</si>
  <si>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</si>
  <si>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</si>
  <si>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</si>
  <si>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</si>
  <si>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</si>
  <si>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</si>
  <si>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</si>
  <si>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</si>
  <si>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</si>
  <si>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</si>
  <si>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</si>
  <si>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</si>
  <si>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</si>
  <si>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</si>
  <si>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</si>
  <si>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</si>
  <si>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</si>
  <si>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</si>
  <si>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</si>
  <si>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</si>
  <si>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</si>
  <si>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</si>
  <si>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</si>
  <si>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</si>
  <si>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</si>
  <si>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</si>
  <si>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</si>
  <si>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</si>
  <si>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</si>
  <si>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</si>
  <si>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</si>
  <si>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</si>
  <si>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</si>
  <si>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</si>
  <si>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</si>
  <si>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</si>
  <si>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</si>
  <si>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</si>
  <si>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</si>
  <si>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</si>
  <si>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</si>
  <si>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</si>
  <si>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</si>
  <si>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</si>
  <si>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</si>
  <si>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</si>
  <si>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</si>
  <si>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</si>
  <si>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</si>
  <si>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</si>
  <si>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</si>
  <si>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</si>
  <si>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</si>
  <si>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</si>
  <si>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</si>
  <si>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</si>
  <si>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</si>
  <si>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</si>
  <si>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</si>
  <si>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</si>
  <si>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</si>
  <si>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</si>
  <si>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</si>
  <si>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</si>
  <si>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</si>
  <si>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</si>
  <si>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</si>
  <si>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</si>
  <si>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</si>
  <si>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</si>
  <si>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</si>
  <si>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</si>
  <si>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</si>
  <si>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</si>
  <si>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</si>
  <si>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</si>
  <si>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</si>
  <si>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</si>
  <si>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</si>
  <si>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</si>
  <si>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</si>
  <si>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</si>
  <si>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</si>
  <si>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</si>
  <si>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</si>
  <si>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</si>
  <si>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</si>
  <si>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</si>
  <si>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</si>
  <si>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</si>
  <si>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</si>
  <si>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</si>
  <si>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</si>
  <si>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</si>
  <si>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</si>
  <si>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</si>
  <si>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</si>
  <si>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</si>
  <si>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</si>
  <si>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</si>
  <si>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</si>
  <si>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</si>
  <si>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</si>
  <si>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</si>
  <si>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</si>
  <si>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</si>
  <si>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</si>
  <si>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</si>
  <si>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</si>
  <si>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</si>
  <si>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</si>
  <si>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</si>
  <si>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</si>
  <si>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</si>
  <si>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</si>
  <si>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</si>
  <si>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</si>
  <si>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</si>
  <si>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</si>
  <si>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</si>
  <si>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</si>
  <si>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</si>
  <si>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</si>
  <si>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</si>
  <si>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</si>
  <si>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</si>
  <si>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</si>
  <si>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</si>
  <si>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</si>
  <si>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</si>
  <si>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</si>
  <si>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</si>
  <si>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</si>
  <si>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</si>
  <si>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</si>
  <si>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</si>
  <si>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</si>
  <si>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</si>
  <si>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</si>
  <si>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</si>
  <si>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</si>
  <si>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</si>
  <si>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</si>
  <si>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</si>
  <si>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</si>
  <si>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</si>
  <si>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</si>
  <si>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</si>
  <si>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</si>
  <si>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</si>
  <si>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</si>
  <si>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</si>
  <si>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</si>
  <si>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</si>
  <si>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</si>
  <si>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</si>
  <si>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</si>
  <si>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</si>
  <si>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</si>
  <si>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</si>
  <si>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</si>
  <si>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</si>
  <si>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</si>
  <si>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</si>
  <si>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</si>
  <si>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</si>
  <si>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</si>
  <si>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</si>
  <si>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</si>
  <si>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</si>
  <si>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</si>
  <si>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</si>
  <si>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</si>
  <si>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</si>
  <si>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</si>
  <si>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</si>
  <si>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</si>
  <si>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</si>
  <si>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</si>
  <si>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</si>
  <si>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</si>
  <si>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</si>
  <si>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</si>
  <si>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</si>
  <si>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</si>
  <si>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</si>
  <si>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</si>
  <si>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</si>
  <si>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</si>
  <si>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</si>
  <si>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</si>
  <si>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</si>
  <si>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</si>
  <si>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</si>
  <si>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</si>
  <si>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</si>
  <si>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</si>
  <si>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</si>
  <si>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</si>
  <si>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</si>
  <si>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</si>
  <si>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</si>
  <si>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</si>
  <si>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</si>
  <si>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</si>
  <si>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</si>
  <si>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</si>
  <si>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</si>
  <si>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</si>
  <si>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</si>
  <si>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</si>
  <si>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</si>
  <si>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</si>
  <si>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</si>
  <si>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</si>
  <si>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</si>
  <si>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</si>
  <si>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</si>
  <si>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</si>
  <si>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</si>
  <si>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</si>
  <si>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</si>
  <si>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</si>
  <si>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</si>
  <si>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</si>
  <si>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</si>
  <si>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</si>
  <si>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</si>
  <si>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</si>
  <si>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</si>
  <si>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</si>
  <si>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</si>
  <si>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</si>
  <si>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</si>
  <si>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</si>
  <si>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</si>
  <si>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</si>
  <si>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</si>
  <si>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</si>
  <si>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</si>
  <si>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</si>
  <si>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</si>
  <si>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</si>
  <si>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</si>
  <si>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</si>
  <si>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</si>
  <si>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</si>
  <si>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</si>
  <si>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</si>
  <si>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</si>
  <si>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</si>
  <si>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</si>
  <si>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</si>
  <si>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</si>
  <si>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</si>
  <si>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</si>
  <si>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</si>
  <si>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</si>
  <si>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</si>
  <si>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</si>
  <si>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</si>
  <si>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</si>
  <si>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</si>
  <si>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</si>
  <si>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</si>
  <si>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</si>
  <si>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</si>
  <si>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</si>
  <si>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</si>
  <si>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</si>
  <si>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</si>
  <si>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</si>
  <si>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</si>
  <si>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</si>
  <si>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</si>
  <si>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</si>
  <si>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</si>
  <si>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</si>
  <si>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</si>
  <si>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</si>
  <si>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</si>
  <si>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</si>
  <si>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</si>
  <si>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</si>
  <si>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</si>
  <si>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</si>
  <si>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</si>
  <si>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</si>
  <si>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</si>
  <si>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</si>
  <si>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</si>
  <si>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</si>
  <si>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</si>
  <si>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</si>
  <si>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</si>
  <si>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</si>
  <si>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</si>
  <si>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</si>
  <si>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</si>
  <si>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</si>
  <si>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</si>
  <si>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</si>
  <si>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</si>
  <si>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</si>
  <si>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</si>
  <si>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</si>
  <si>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</si>
  <si>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</si>
  <si>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</si>
  <si>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</si>
  <si>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</si>
  <si>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</si>
  <si>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</si>
  <si>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</si>
  <si>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</si>
  <si>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</si>
  <si>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</si>
  <si>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</si>
  <si>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</si>
  <si>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</si>
  <si>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</si>
  <si>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</si>
  <si>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</si>
  <si>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</si>
  <si>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</si>
  <si>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</si>
  <si>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</si>
  <si>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</si>
  <si>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</si>
  <si>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</si>
  <si>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</si>
  <si>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</si>
  <si>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</si>
  <si>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</si>
  <si>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</si>
  <si>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</si>
  <si>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</si>
  <si>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</si>
  <si>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</si>
  <si>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</si>
  <si>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</si>
  <si>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</si>
  <si>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</si>
  <si>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</si>
  <si>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</si>
  <si>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</si>
  <si>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</si>
  <si>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</si>
  <si>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</si>
  <si>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</si>
  <si>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</si>
  <si>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</si>
  <si>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</si>
  <si>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</si>
  <si>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</si>
  <si>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</si>
  <si>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</si>
  <si>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</si>
  <si>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</si>
  <si>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</si>
  <si>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</si>
  <si>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</si>
  <si>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</si>
  <si>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</si>
  <si>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</si>
  <si>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</si>
  <si>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</si>
  <si>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</si>
  <si>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</si>
  <si>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</si>
  <si>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</si>
  <si>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</si>
  <si>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</si>
  <si>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</si>
  <si>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</si>
  <si>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</si>
  <si>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</si>
  <si>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</si>
  <si>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</si>
  <si>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</si>
  <si>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</si>
  <si>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</si>
  <si>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</si>
  <si>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</si>
  <si>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</si>
  <si>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</si>
  <si>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</si>
  <si>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</si>
  <si>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</si>
  <si>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</si>
  <si>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</si>
  <si>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</si>
  <si>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</si>
  <si>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</si>
  <si>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</si>
  <si>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</si>
  <si>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</si>
  <si>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</si>
  <si>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</si>
  <si>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</si>
  <si>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</si>
  <si>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</si>
  <si>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</si>
  <si>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</si>
  <si>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</si>
  <si>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</si>
  <si>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</si>
  <si>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</si>
  <si>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</si>
  <si>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</si>
  <si>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</si>
  <si>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</si>
  <si>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</si>
  <si>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</si>
  <si>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</si>
  <si>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</si>
  <si>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</si>
  <si>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</si>
  <si>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</si>
  <si>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</si>
  <si>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</si>
  <si>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</si>
  <si>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</si>
  <si>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</si>
  <si>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</si>
  <si>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</si>
  <si>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</si>
  <si>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</si>
  <si>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</si>
  <si>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</si>
  <si>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</si>
  <si>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</si>
  <si>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</si>
  <si>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</si>
  <si>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</si>
  <si>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</si>
  <si>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</si>
  <si>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</si>
  <si>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</si>
  <si>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</si>
  <si>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</si>
  <si>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</si>
  <si>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</si>
  <si>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</si>
  <si>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</si>
  <si>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</si>
  <si>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</si>
  <si>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</si>
  <si>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</si>
  <si>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</si>
  <si>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</si>
  <si>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</si>
  <si>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</si>
  <si>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</si>
  <si>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</si>
  <si>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</si>
  <si>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</si>
  <si>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</si>
  <si>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</si>
  <si>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</si>
  <si>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</si>
  <si>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</si>
  <si>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</si>
  <si>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</si>
  <si>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</si>
  <si>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</si>
  <si>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</si>
  <si>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</si>
  <si>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</si>
  <si>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</si>
  <si>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</si>
  <si>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</si>
  <si>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</si>
  <si>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</si>
  <si>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</si>
  <si>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</si>
  <si>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</si>
  <si>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</si>
  <si>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</si>
  <si>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</si>
  <si>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</si>
  <si>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</si>
  <si>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</si>
  <si>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</si>
  <si>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</si>
  <si>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</si>
  <si>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</si>
  <si>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</si>
  <si>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</si>
  <si>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</si>
  <si>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</si>
  <si>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</si>
  <si>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</si>
  <si>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</si>
  <si>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</si>
  <si>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</si>
  <si>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</si>
  <si>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</si>
  <si>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</si>
  <si>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</si>
  <si>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</si>
  <si>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</si>
  <si>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</si>
  <si>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</si>
  <si>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</si>
  <si>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</si>
  <si>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</si>
  <si>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</si>
  <si>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</si>
  <si>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</si>
  <si>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</si>
  <si>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</si>
  <si>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</si>
  <si>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</si>
  <si>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</si>
  <si>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</si>
  <si>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</si>
  <si>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</si>
  <si>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</si>
  <si>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</si>
  <si>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</si>
  <si>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</si>
  <si>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</si>
  <si>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</si>
  <si>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</si>
  <si>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</si>
  <si>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</si>
  <si>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</si>
  <si>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</si>
  <si>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</si>
  <si>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</si>
  <si>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</si>
  <si>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</si>
  <si>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</si>
  <si>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</si>
  <si>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</si>
  <si>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</si>
  <si>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</si>
  <si>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</si>
  <si>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</si>
  <si>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</si>
  <si>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</si>
  <si>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</si>
  <si>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</si>
  <si>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</si>
  <si>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</si>
  <si>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</si>
  <si>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</si>
  <si>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</si>
  <si>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</si>
  <si>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</si>
  <si>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</si>
  <si>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</si>
  <si>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</si>
  <si>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</si>
  <si>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</si>
  <si>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</si>
  <si>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</si>
  <si>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</si>
  <si>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</si>
  <si>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</si>
  <si>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</si>
  <si>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</si>
  <si>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</si>
  <si>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</si>
  <si>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</si>
  <si>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</si>
  <si>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</si>
  <si>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</si>
  <si>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</si>
  <si>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</si>
  <si>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</si>
  <si>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</si>
  <si>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</si>
  <si>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</si>
  <si>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</si>
  <si>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</si>
  <si>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</si>
  <si>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</si>
  <si>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</si>
  <si>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</si>
  <si>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</si>
  <si>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</si>
  <si>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</si>
  <si>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</si>
  <si>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</si>
  <si>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</si>
  <si>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</si>
  <si>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</si>
  <si>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</si>
  <si>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</si>
  <si>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</si>
  <si>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</si>
  <si>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</si>
  <si>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</si>
  <si>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</si>
  <si>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</si>
  <si>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</si>
  <si>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</si>
  <si>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</si>
  <si>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</si>
  <si>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</si>
  <si>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</si>
  <si>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</si>
  <si>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</si>
  <si>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</si>
  <si>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</si>
  <si>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</si>
  <si>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</si>
  <si>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</si>
  <si>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</si>
  <si>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</si>
  <si>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</si>
  <si>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</si>
  <si>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</si>
  <si>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</si>
  <si>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</si>
  <si>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</si>
  <si>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</si>
  <si>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</si>
  <si>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</si>
  <si>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</si>
  <si>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</si>
  <si>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</si>
  <si>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</si>
  <si>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</si>
  <si>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</si>
  <si>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</si>
  <si>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</si>
  <si>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</si>
  <si>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</si>
  <si>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</si>
  <si>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</si>
  <si>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</si>
  <si>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</si>
  <si>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</si>
  <si>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</si>
  <si>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</si>
  <si>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</si>
  <si>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</si>
  <si>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</si>
  <si>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</si>
  <si>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</si>
  <si>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</si>
  <si>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</si>
  <si>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</si>
  <si>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</si>
  <si>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</si>
  <si>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</si>
  <si>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</si>
  <si>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</si>
  <si>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</si>
  <si>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</si>
  <si>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</si>
  <si>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</si>
  <si>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</si>
  <si>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</si>
  <si>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</si>
  <si>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</si>
  <si>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</si>
  <si>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</si>
  <si>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</si>
  <si>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</si>
  <si>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</si>
  <si>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</si>
  <si>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</si>
  <si>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</si>
  <si>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</si>
  <si>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</si>
  <si>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</si>
  <si>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</si>
  <si>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</si>
  <si>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</si>
  <si>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</si>
  <si>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</si>
  <si>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</si>
  <si>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</si>
  <si>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</si>
  <si>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</si>
  <si>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</si>
  <si>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</si>
  <si>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</si>
  <si>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</si>
  <si>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</si>
  <si>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</si>
  <si>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</si>
  <si>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</si>
  <si>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</si>
  <si>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</si>
  <si>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</si>
  <si>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</si>
  <si>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</si>
  <si>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</si>
  <si>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</si>
  <si>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</si>
  <si>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</si>
  <si>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</si>
  <si>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</si>
  <si>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</si>
  <si>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</si>
  <si>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</si>
  <si>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</si>
  <si>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</si>
  <si>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</si>
  <si>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</si>
  <si>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</si>
  <si>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</si>
  <si>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</si>
  <si>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</si>
  <si>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</si>
  <si>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</si>
  <si>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</si>
  <si>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</si>
  <si>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</si>
  <si>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</si>
  <si>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</si>
  <si>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</si>
  <si>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</si>
  <si>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</si>
  <si>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</si>
  <si>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</si>
  <si>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</si>
  <si>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</si>
  <si>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87815496618</t>
  </si>
  <si>
    <t>04144724</t>
  </si>
  <si>
    <t>080884061</t>
  </si>
  <si>
    <t>ODVODNJA SAMOBOR d.o.o.</t>
  </si>
  <si>
    <t>SAMOBOR</t>
  </si>
  <si>
    <t>info@odvodnjasamobor.hr</t>
  </si>
  <si>
    <t>www.odvodnjasamobor.hr</t>
  </si>
  <si>
    <t>Kos Nadica</t>
  </si>
  <si>
    <t>+385916304004</t>
  </si>
  <si>
    <t>nada.kos@odvodnjasamobor.hr</t>
  </si>
  <si>
    <t>Ulica 151. samoborske brigade HV 1</t>
  </si>
  <si>
    <t>+38515605370</t>
  </si>
  <si>
    <t>HSFI</t>
  </si>
  <si>
    <t>Antonio Širanović, dipl.ing.sig., ing.građ.</t>
  </si>
  <si>
    <t>72373373001</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</si>
</sst>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53"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8">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5330889.58</v>
      </c>
      <c r="I3" s="27">
        <f>ABS(ROUND(J3,0)-J3)+ABS(ROUND(K3,0)-K3)</f>
        <v>0</v>
      </c>
      <c r="J3" s="27">
        <f>Bilanca!I10</f>
        <v>85715089</v>
      </c>
      <c r="K3" s="27">
        <f>Bilanca!J10</f>
        <v>90414695</v>
      </c>
    </row>
    <row r="4" spans="1:11" ht="12.75">
      <c r="A4" s="4" t="s">
        <v>2697</v>
      </c>
      <c r="B4" s="25" t="s">
        <v>364</v>
      </c>
      <c r="D4" s="4" t="s">
        <v>554</v>
      </c>
      <c r="E4" s="4">
        <v>1</v>
      </c>
      <c r="F4" s="4">
        <f>Bilanca!G11</f>
        <v>3</v>
      </c>
      <c r="G4" s="4">
        <f>IF(Bilanca!H11=0,"",Bilanca!H11)</f>
      </c>
      <c r="H4" s="26">
        <f>J4/100*F4+2*K4/100*F4</f>
        <v>7273.08</v>
      </c>
      <c r="I4" s="27">
        <f>ABS(ROUND(J4,0)-J4)+ABS(ROUND(K4,0)-K4)</f>
        <v>0</v>
      </c>
      <c r="J4" s="27">
        <f>Bilanca!I11</f>
        <v>0</v>
      </c>
      <c r="K4" s="27">
        <f>Bilanca!J11</f>
        <v>121218</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04144724</v>
      </c>
      <c r="D6" s="4" t="s">
        <v>554</v>
      </c>
      <c r="E6" s="4">
        <v>1</v>
      </c>
      <c r="F6" s="4">
        <f>Bilanca!G13</f>
        <v>5</v>
      </c>
      <c r="G6" s="4">
        <f>IF(Bilanca!H13=0,"",Bilanca!H13)</f>
      </c>
      <c r="H6" s="26">
        <f aca="true" t="shared" si="0" ref="H6:H45">J6/100*F6+2*K6/100*F6</f>
        <v>12121.800000000001</v>
      </c>
      <c r="I6" s="27">
        <f aca="true" t="shared" si="1" ref="I6:I45">ABS(ROUND(J6,0)-J6)+ABS(ROUND(K6,0)-K6)</f>
        <v>0</v>
      </c>
      <c r="J6" s="27">
        <f>Bilanca!I13</f>
        <v>0</v>
      </c>
      <c r="K6" s="27">
        <f>Bilanca!J13</f>
        <v>121218</v>
      </c>
    </row>
    <row r="7" spans="1:11" ht="12.75">
      <c r="A7" s="4" t="s">
        <v>1561</v>
      </c>
      <c r="B7" s="25" t="str">
        <f>RefStr!M27</f>
        <v>080884061</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87815496618</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ODVODNJA SAMOBOR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10430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SAMOBOR</v>
      </c>
      <c r="D11" s="4" t="s">
        <v>554</v>
      </c>
      <c r="E11" s="4">
        <v>1</v>
      </c>
      <c r="F11" s="4">
        <f>Bilanca!G18</f>
        <v>10</v>
      </c>
      <c r="G11" s="4">
        <f>IF(Bilanca!H18=0,"",Bilanca!H18)</f>
      </c>
      <c r="H11" s="26">
        <f t="shared" si="0"/>
        <v>26630204.299999997</v>
      </c>
      <c r="I11" s="27">
        <f t="shared" si="1"/>
        <v>0</v>
      </c>
      <c r="J11" s="27">
        <f>Bilanca!I18</f>
        <v>85715089</v>
      </c>
      <c r="K11" s="27">
        <f>Bilanca!J18</f>
        <v>90293477</v>
      </c>
    </row>
    <row r="12" spans="1:11" ht="12.75">
      <c r="A12" s="4" t="s">
        <v>2738</v>
      </c>
      <c r="B12" s="25" t="str">
        <f>TRIM(RefStr!C33)</f>
        <v>Ulica 151. samoborske brigade HV 1</v>
      </c>
      <c r="D12" s="4" t="s">
        <v>554</v>
      </c>
      <c r="E12" s="4">
        <v>1</v>
      </c>
      <c r="F12" s="4">
        <f>Bilanca!G19</f>
        <v>11</v>
      </c>
      <c r="G12" s="4">
        <f>IF(Bilanca!H19=0,"",Bilanca!H19)</f>
      </c>
      <c r="H12" s="26">
        <f t="shared" si="0"/>
        <v>514373.30999999994</v>
      </c>
      <c r="I12" s="27">
        <f t="shared" si="1"/>
        <v>0</v>
      </c>
      <c r="J12" s="27">
        <f>Bilanca!I19</f>
        <v>1558707</v>
      </c>
      <c r="K12" s="27">
        <f>Bilanca!J19</f>
        <v>1558707</v>
      </c>
    </row>
    <row r="13" spans="1:11" ht="12.75">
      <c r="A13" s="4" t="s">
        <v>2884</v>
      </c>
      <c r="B13" s="25" t="str">
        <f>TRIM(RefStr!C35)</f>
        <v>info@odvodnjasamobor.hr</v>
      </c>
      <c r="D13" s="4" t="s">
        <v>554</v>
      </c>
      <c r="E13" s="4">
        <v>1</v>
      </c>
      <c r="F13" s="4">
        <f>Bilanca!G20</f>
        <v>12</v>
      </c>
      <c r="G13" s="4">
        <f>IF(Bilanca!H20=0,"",Bilanca!H20)</f>
      </c>
      <c r="H13" s="26">
        <f t="shared" si="0"/>
        <v>23843525.880000003</v>
      </c>
      <c r="I13" s="27">
        <f t="shared" si="1"/>
        <v>0</v>
      </c>
      <c r="J13" s="27">
        <f>Bilanca!I20</f>
        <v>65175431</v>
      </c>
      <c r="K13" s="27">
        <f>Bilanca!J20</f>
        <v>66760309</v>
      </c>
    </row>
    <row r="14" spans="1:11" ht="12.75">
      <c r="A14" s="4" t="s">
        <v>2885</v>
      </c>
      <c r="B14" s="25" t="str">
        <f>TRIM(RefStr!C37)</f>
        <v>www.odvodnjasamobor.hr</v>
      </c>
      <c r="D14" s="4" t="s">
        <v>554</v>
      </c>
      <c r="E14" s="4">
        <v>1</v>
      </c>
      <c r="F14" s="4">
        <f>Bilanca!G21</f>
        <v>13</v>
      </c>
      <c r="G14" s="4">
        <f>IF(Bilanca!H21=0,"",Bilanca!H21)</f>
      </c>
      <c r="H14" s="26">
        <f t="shared" si="0"/>
        <v>710784.1</v>
      </c>
      <c r="I14" s="27">
        <f t="shared" si="1"/>
        <v>0</v>
      </c>
      <c r="J14" s="27">
        <f>Bilanca!I21</f>
        <v>469202</v>
      </c>
      <c r="K14" s="27">
        <f>Bilanca!J21</f>
        <v>2499184</v>
      </c>
    </row>
    <row r="15" spans="1:11" ht="12.75">
      <c r="A15" s="4" t="s">
        <v>2741</v>
      </c>
      <c r="B15" s="25" t="str">
        <f>TEXT(RefStr!J39,"00")</f>
        <v>01</v>
      </c>
      <c r="D15" s="4" t="s">
        <v>554</v>
      </c>
      <c r="E15" s="4">
        <v>1</v>
      </c>
      <c r="F15" s="4">
        <f>Bilanca!G22</f>
        <v>14</v>
      </c>
      <c r="G15" s="4">
        <f>IF(Bilanca!H22=0,"",Bilanca!H22)</f>
      </c>
      <c r="H15" s="26">
        <f t="shared" si="0"/>
        <v>766320.6599999999</v>
      </c>
      <c r="I15" s="27">
        <f t="shared" si="1"/>
        <v>0</v>
      </c>
      <c r="J15" s="27">
        <f>Bilanca!I22</f>
        <v>1908209</v>
      </c>
      <c r="K15" s="27">
        <f>Bilanca!J22</f>
        <v>1782755</v>
      </c>
    </row>
    <row r="16" spans="1:11" ht="12.75">
      <c r="A16" s="4" t="s">
        <v>2740</v>
      </c>
      <c r="B16" s="25" t="str">
        <f>TEXT(RefStr!C39,"000")</f>
        <v>380</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3700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8838059.280000001</v>
      </c>
      <c r="I18" s="27">
        <f t="shared" si="1"/>
        <v>0</v>
      </c>
      <c r="J18" s="27">
        <f>Bilanca!I25</f>
        <v>16603540</v>
      </c>
      <c r="K18" s="27">
        <f>Bilanca!J25</f>
        <v>17692522</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27</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29</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26</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28</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11403198.350000001</v>
      </c>
      <c r="I38" s="27">
        <f t="shared" si="1"/>
        <v>0</v>
      </c>
      <c r="J38" s="27">
        <f>Bilanca!I45</f>
        <v>7487269</v>
      </c>
      <c r="K38" s="27">
        <f>Bilanca!J45</f>
        <v>11666093</v>
      </c>
    </row>
    <row r="39" spans="1:11" ht="12.75">
      <c r="A39" s="4" t="s">
        <v>1611</v>
      </c>
      <c r="B39" s="25" t="str">
        <f>RefStr!C68</f>
        <v>Kos Nadica</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+385916304004</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nada.kos@odvodnjasamobor.hr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Antonio Širanović, dipl.ing.sig., ing.građ.</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6756599.600000001</v>
      </c>
      <c r="I47" s="27">
        <f t="shared" si="3"/>
        <v>0</v>
      </c>
      <c r="J47" s="27">
        <f>Bilanca!I54</f>
        <v>3698850</v>
      </c>
      <c r="K47" s="27">
        <f>Bilanca!J54</f>
        <v>5494705</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5189765.91</v>
      </c>
      <c r="I50" s="27">
        <f t="shared" si="3"/>
        <v>0</v>
      </c>
      <c r="J50" s="27">
        <f>Bilanca!I57</f>
        <v>3247325</v>
      </c>
      <c r="K50" s="27">
        <f>Bilanca!J57</f>
        <v>3672017</v>
      </c>
    </row>
    <row r="51" spans="1:11" ht="12.75">
      <c r="A51" s="4" t="s">
        <v>1035</v>
      </c>
      <c r="B51" s="25" t="str">
        <f>RefStr!I60</f>
        <v>NE</v>
      </c>
      <c r="D51" s="4" t="s">
        <v>554</v>
      </c>
      <c r="E51" s="4">
        <v>1</v>
      </c>
      <c r="F51" s="4">
        <f>Bilanca!G58</f>
        <v>50</v>
      </c>
      <c r="G51" s="4">
        <f>IF(Bilanca!H58=0,"",Bilanca!H58)</f>
      </c>
      <c r="H51" s="26">
        <f t="shared" si="2"/>
        <v>30000</v>
      </c>
      <c r="I51" s="27">
        <f t="shared" si="3"/>
        <v>0</v>
      </c>
      <c r="J51" s="27">
        <f>Bilanca!I58</f>
        <v>60000</v>
      </c>
      <c r="K51" s="27">
        <f>Bilanca!J58</f>
        <v>0</v>
      </c>
    </row>
    <row r="52" spans="1:11" ht="12.75">
      <c r="A52" s="4" t="s">
        <v>1614</v>
      </c>
      <c r="B52" s="25" t="s">
        <v>1237</v>
      </c>
      <c r="D52" s="4" t="s">
        <v>554</v>
      </c>
      <c r="E52" s="4">
        <v>1</v>
      </c>
      <c r="F52" s="4">
        <f>Bilanca!G59</f>
        <v>51</v>
      </c>
      <c r="G52" s="4">
        <f>IF(Bilanca!H59=0,"",Bilanca!H59)</f>
      </c>
      <c r="H52" s="26">
        <f t="shared" si="2"/>
        <v>22793.94</v>
      </c>
      <c r="I52" s="27">
        <f t="shared" si="3"/>
        <v>0</v>
      </c>
      <c r="J52" s="27">
        <f>Bilanca!I59</f>
        <v>0</v>
      </c>
      <c r="K52" s="27">
        <f>Bilanca!J59</f>
        <v>22347</v>
      </c>
    </row>
    <row r="53" spans="1:11" ht="12.75">
      <c r="A53" s="4" t="s">
        <v>1301</v>
      </c>
      <c r="B53" s="25" t="str">
        <f>RefStr!I56</f>
        <v>DA</v>
      </c>
      <c r="D53" s="4" t="s">
        <v>554</v>
      </c>
      <c r="E53" s="4">
        <v>1</v>
      </c>
      <c r="F53" s="4">
        <f>Bilanca!G60</f>
        <v>52</v>
      </c>
      <c r="G53" s="4">
        <f>IF(Bilanca!H60=0,"",Bilanca!H60)</f>
      </c>
      <c r="H53" s="26">
        <f t="shared" si="2"/>
        <v>2075947.64</v>
      </c>
      <c r="I53" s="27">
        <f t="shared" si="3"/>
        <v>0</v>
      </c>
      <c r="J53" s="27">
        <f>Bilanca!I60</f>
        <v>391525</v>
      </c>
      <c r="K53" s="27">
        <f>Bilanca!J60</f>
        <v>1800341</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3016071622.369999</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72373373001</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10162652.85</v>
      </c>
      <c r="I64" s="27">
        <f t="shared" si="3"/>
        <v>0</v>
      </c>
      <c r="J64" s="27">
        <f>Bilanca!I71</f>
        <v>3788419</v>
      </c>
      <c r="K64" s="27">
        <f>Bilanca!J71</f>
        <v>6171388</v>
      </c>
    </row>
    <row r="65" spans="1:11" ht="12.75">
      <c r="A65" s="4" t="s">
        <v>923</v>
      </c>
      <c r="B65" s="25" t="str">
        <f>TRIM(RefStr!N19)</f>
        <v>HSFI</v>
      </c>
      <c r="D65" s="4" t="s">
        <v>554</v>
      </c>
      <c r="E65" s="4">
        <v>1</v>
      </c>
      <c r="F65" s="4">
        <f>Bilanca!G72</f>
        <v>64</v>
      </c>
      <c r="G65" s="4">
        <f>IF(Bilanca!H72=0,"",Bilanca!H72)</f>
      </c>
      <c r="H65" s="26">
        <f t="shared" si="2"/>
        <v>88200.95999999999</v>
      </c>
      <c r="I65" s="27">
        <f t="shared" si="3"/>
        <v>0</v>
      </c>
      <c r="J65" s="27">
        <f>Bilanca!I72</f>
        <v>39096</v>
      </c>
      <c r="K65" s="27">
        <f>Bilanca!J72</f>
        <v>49359</v>
      </c>
    </row>
    <row r="66" spans="1:11" ht="12.75">
      <c r="A66" s="4" t="s">
        <v>924</v>
      </c>
      <c r="B66" s="25">
        <f>RefStr!C23</f>
        <v>1</v>
      </c>
      <c r="D66" s="4" t="s">
        <v>554</v>
      </c>
      <c r="E66" s="4">
        <v>1</v>
      </c>
      <c r="F66" s="4">
        <f>Bilanca!G73</f>
        <v>65</v>
      </c>
      <c r="G66" s="4">
        <f>IF(Bilanca!H73=0,"",Bilanca!H73)</f>
      </c>
      <c r="H66" s="26">
        <f t="shared" si="2"/>
        <v>193376136.2</v>
      </c>
      <c r="I66" s="27">
        <f t="shared" si="3"/>
        <v>0</v>
      </c>
      <c r="J66" s="27">
        <f>Bilanca!I73</f>
        <v>93241454</v>
      </c>
      <c r="K66" s="27">
        <f>Bilanca!J73</f>
        <v>102130147</v>
      </c>
    </row>
    <row r="67" spans="1:11" ht="12.75">
      <c r="A67" s="4" t="s">
        <v>925</v>
      </c>
      <c r="B67" s="25" t="str">
        <f>TRIM(RefStr!L35)</f>
        <v>+38515605370</v>
      </c>
      <c r="D67" s="4" t="s">
        <v>554</v>
      </c>
      <c r="E67" s="4">
        <v>1</v>
      </c>
      <c r="F67" s="4">
        <f>Bilanca!G74</f>
        <v>66</v>
      </c>
      <c r="G67" s="4">
        <f>IF(Bilanca!H74=0,"",Bilanca!H74)</f>
      </c>
      <c r="H67" s="26">
        <f t="shared" si="2"/>
        <v>12703548</v>
      </c>
      <c r="I67" s="27">
        <f t="shared" si="3"/>
        <v>0</v>
      </c>
      <c r="J67" s="27">
        <f>Bilanca!I74</f>
        <v>4240562</v>
      </c>
      <c r="K67" s="27">
        <f>Bilanca!J74</f>
        <v>7503619</v>
      </c>
    </row>
    <row r="68" spans="1:11" ht="12.75">
      <c r="A68" s="4" t="s">
        <v>926</v>
      </c>
      <c r="B68" s="25">
        <f>RefStr!C44</f>
        <v>1</v>
      </c>
      <c r="D68" s="4" t="s">
        <v>554</v>
      </c>
      <c r="E68" s="4">
        <v>1</v>
      </c>
      <c r="F68" s="4">
        <f>Bilanca!G76</f>
        <v>67</v>
      </c>
      <c r="G68" s="4">
        <f>IF(Bilanca!H76=0,"",Bilanca!H76)</f>
      </c>
      <c r="H68" s="26">
        <f t="shared" si="2"/>
        <v>1898865.0899999999</v>
      </c>
      <c r="I68" s="27">
        <f t="shared" si="3"/>
        <v>0</v>
      </c>
      <c r="J68" s="27">
        <f>Bilanca!I76</f>
        <v>570263</v>
      </c>
      <c r="K68" s="27">
        <f>Bilanca!J76</f>
        <v>1131932</v>
      </c>
    </row>
    <row r="69" spans="1:11" ht="12.75">
      <c r="A69" s="4" t="s">
        <v>927</v>
      </c>
      <c r="B69" s="25">
        <f>TRIM(RefStr!M46)</f>
      </c>
      <c r="D69" s="4" t="s">
        <v>554</v>
      </c>
      <c r="E69" s="4">
        <v>1</v>
      </c>
      <c r="F69" s="4">
        <f>Bilanca!G77</f>
        <v>68</v>
      </c>
      <c r="G69" s="4">
        <f>IF(Bilanca!H77=0,"",Bilanca!H77)</f>
      </c>
      <c r="H69" s="26">
        <f t="shared" si="2"/>
        <v>3162000</v>
      </c>
      <c r="I69" s="27">
        <f t="shared" si="3"/>
        <v>0</v>
      </c>
      <c r="J69" s="27">
        <f>Bilanca!I77</f>
        <v>1550000</v>
      </c>
      <c r="K69" s="27">
        <f>Bilanca!J77</f>
        <v>1550000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-2497810.3000000003</v>
      </c>
      <c r="I84" s="27">
        <f t="shared" si="3"/>
        <v>0</v>
      </c>
      <c r="J84" s="27">
        <f>Bilanca!I92</f>
        <v>-1049936</v>
      </c>
      <c r="K84" s="27">
        <f>Bilanca!J92</f>
        <v>-979737</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2557998.5</v>
      </c>
      <c r="I86" s="27">
        <f t="shared" si="3"/>
        <v>0</v>
      </c>
      <c r="J86" s="27">
        <f>Bilanca!I94</f>
        <v>1049936</v>
      </c>
      <c r="K86" s="27">
        <f>Bilanca!J94</f>
        <v>979737</v>
      </c>
    </row>
    <row r="87" spans="4:11" ht="12.75">
      <c r="D87" s="4" t="s">
        <v>554</v>
      </c>
      <c r="E87" s="4">
        <v>1</v>
      </c>
      <c r="F87" s="4">
        <f>Bilanca!G95</f>
        <v>86</v>
      </c>
      <c r="G87" s="4">
        <f>IF(Bilanca!H95=0,"",Bilanca!H95)</f>
      </c>
      <c r="H87" s="26">
        <f>J87/100*F87+2*K87/100*F87</f>
        <v>1026441.82</v>
      </c>
      <c r="I87" s="27">
        <f>ABS(ROUND(J87,0)-J87)+ABS(ROUND(K87,0)-K87)</f>
        <v>0</v>
      </c>
      <c r="J87" s="27">
        <f>Bilanca!I95</f>
        <v>70199</v>
      </c>
      <c r="K87" s="27">
        <f>Bilanca!J95</f>
        <v>561669</v>
      </c>
    </row>
    <row r="88" spans="4:11" ht="12.75">
      <c r="D88" s="4" t="s">
        <v>554</v>
      </c>
      <c r="E88" s="4">
        <v>1</v>
      </c>
      <c r="F88" s="4">
        <f>Bilanca!G96</f>
        <v>87</v>
      </c>
      <c r="G88" s="4">
        <f>IF(Bilanca!H96=0,"",Bilanca!H96)</f>
      </c>
      <c r="H88" s="26">
        <f>J88/100*F88+2*K88/100*F88</f>
        <v>1038377.19</v>
      </c>
      <c r="I88" s="27">
        <f>ABS(ROUND(J88,0)-J88)+ABS(ROUND(K88,0)-K88)</f>
        <v>0</v>
      </c>
      <c r="J88" s="27">
        <f>Bilanca!I96</f>
        <v>70199</v>
      </c>
      <c r="K88" s="27">
        <f>Bilanca!J96</f>
        <v>561669</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43017.3</v>
      </c>
      <c r="I91" s="27">
        <f t="shared" si="5"/>
        <v>0</v>
      </c>
      <c r="J91" s="27">
        <f>Bilanca!I99</f>
        <v>47797</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44451.21</v>
      </c>
      <c r="I94" s="27">
        <f t="shared" si="5"/>
        <v>0</v>
      </c>
      <c r="J94" s="27">
        <f>Bilanca!I102</f>
        <v>47797</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3704550.28</v>
      </c>
      <c r="I98" s="27">
        <f t="shared" si="5"/>
        <v>0</v>
      </c>
      <c r="J98" s="27">
        <f>Bilanca!I106</f>
        <v>226888</v>
      </c>
      <c r="K98" s="27">
        <f>Bilanca!J106</f>
        <v>1796118</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3933697.72</v>
      </c>
      <c r="I104" s="27">
        <f t="shared" si="5"/>
        <v>0</v>
      </c>
      <c r="J104" s="27">
        <f>Bilanca!I112</f>
        <v>226888</v>
      </c>
      <c r="K104" s="27">
        <f>Bilanca!J112</f>
        <v>1796118</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7439481.08</v>
      </c>
      <c r="I110" s="27">
        <f t="shared" si="5"/>
        <v>0</v>
      </c>
      <c r="J110" s="27">
        <f>Bilanca!I118</f>
        <v>2109714</v>
      </c>
      <c r="K110" s="27">
        <f>Bilanca!J118</f>
        <v>2357749</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957917.8</v>
      </c>
      <c r="I116" s="27">
        <f t="shared" si="5"/>
        <v>0</v>
      </c>
      <c r="J116" s="27">
        <f>Bilanca!I124</f>
        <v>381150</v>
      </c>
      <c r="K116" s="27">
        <f>Bilanca!J124</f>
        <v>225911</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1887909.66</v>
      </c>
      <c r="I118" s="27">
        <f t="shared" si="5"/>
        <v>0</v>
      </c>
      <c r="J118" s="27">
        <f>Bilanca!I126</f>
        <v>445606</v>
      </c>
      <c r="K118" s="27">
        <f>Bilanca!J126</f>
        <v>583996</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808202.78</v>
      </c>
      <c r="I120" s="27">
        <f t="shared" si="5"/>
        <v>0</v>
      </c>
      <c r="J120" s="27">
        <f>Bilanca!I128</f>
        <v>174172</v>
      </c>
      <c r="K120" s="27">
        <f>Bilanca!J128</f>
        <v>252495</v>
      </c>
    </row>
    <row r="121" spans="4:11" ht="12.75">
      <c r="D121" s="4" t="s">
        <v>554</v>
      </c>
      <c r="E121" s="4">
        <v>1</v>
      </c>
      <c r="F121" s="4">
        <f>Bilanca!G129</f>
        <v>120</v>
      </c>
      <c r="G121" s="4">
        <f>IF(Bilanca!H129=0,"",Bilanca!H129)</f>
      </c>
      <c r="H121" s="26">
        <f t="shared" si="4"/>
        <v>438392.4</v>
      </c>
      <c r="I121" s="27">
        <f t="shared" si="5"/>
        <v>0</v>
      </c>
      <c r="J121" s="27">
        <f>Bilanca!I129</f>
        <v>105557</v>
      </c>
      <c r="K121" s="27">
        <f>Bilanca!J129</f>
        <v>129885</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4101008.1900000004</v>
      </c>
      <c r="I124" s="27">
        <f t="shared" si="5"/>
        <v>0</v>
      </c>
      <c r="J124" s="27">
        <f>Bilanca!I132</f>
        <v>1003229</v>
      </c>
      <c r="K124" s="27">
        <f>Bilanca!J132</f>
        <v>1165462</v>
      </c>
    </row>
    <row r="125" spans="4:11" ht="12.75">
      <c r="D125" s="4" t="s">
        <v>554</v>
      </c>
      <c r="E125" s="4">
        <v>1</v>
      </c>
      <c r="F125" s="4">
        <f>Bilanca!G133</f>
        <v>124</v>
      </c>
      <c r="G125" s="4">
        <f>IF(Bilanca!H133=0,"",Bilanca!H133)</f>
      </c>
      <c r="H125" s="26">
        <f t="shared" si="4"/>
        <v>352129605.12</v>
      </c>
      <c r="I125" s="27">
        <f t="shared" si="5"/>
        <v>0</v>
      </c>
      <c r="J125" s="27">
        <f>Bilanca!I133</f>
        <v>90286792</v>
      </c>
      <c r="K125" s="27">
        <f>Bilanca!J133</f>
        <v>96844348</v>
      </c>
    </row>
    <row r="126" spans="4:11" ht="12.75">
      <c r="D126" s="4" t="s">
        <v>554</v>
      </c>
      <c r="E126" s="4">
        <v>1</v>
      </c>
      <c r="F126" s="4">
        <f>Bilanca!G134</f>
        <v>125</v>
      </c>
      <c r="G126" s="4">
        <f>IF(Bilanca!H134=0,"",Bilanca!H134)</f>
      </c>
      <c r="H126" s="26">
        <f t="shared" si="4"/>
        <v>371877185</v>
      </c>
      <c r="I126" s="27">
        <f t="shared" si="5"/>
        <v>0</v>
      </c>
      <c r="J126" s="27">
        <f>Bilanca!I134</f>
        <v>93241454</v>
      </c>
      <c r="K126" s="27">
        <f>Bilanca!J134</f>
        <v>102130147</v>
      </c>
    </row>
    <row r="127" spans="4:11" ht="12.75">
      <c r="D127" s="4" t="s">
        <v>554</v>
      </c>
      <c r="E127" s="4">
        <v>1</v>
      </c>
      <c r="F127" s="4">
        <f>Bilanca!G135</f>
        <v>126</v>
      </c>
      <c r="G127" s="4">
        <f>IF(Bilanca!H135=0,"",Bilanca!H135)</f>
      </c>
      <c r="H127" s="26">
        <f t="shared" si="4"/>
        <v>24252228</v>
      </c>
      <c r="I127" s="27">
        <f t="shared" si="5"/>
        <v>0</v>
      </c>
      <c r="J127" s="27">
        <f>Bilanca!I135</f>
        <v>4240562</v>
      </c>
      <c r="K127" s="27">
        <f>Bilanca!J135</f>
        <v>7503619</v>
      </c>
    </row>
    <row r="128" spans="4:11" ht="12.75">
      <c r="D128" s="4" t="s">
        <v>794</v>
      </c>
      <c r="E128" s="4">
        <v>2</v>
      </c>
      <c r="F128" s="4">
        <f>RDG!G8</f>
        <v>127</v>
      </c>
      <c r="G128" s="4">
        <f>IF(RDG!H8=0,"",RDG!H8)</f>
      </c>
      <c r="H128" s="26">
        <f t="shared" si="4"/>
        <v>41786676.65</v>
      </c>
      <c r="I128" s="4">
        <f t="shared" si="5"/>
        <v>0</v>
      </c>
      <c r="J128" s="27">
        <f>RDG!I8</f>
        <v>9207433</v>
      </c>
      <c r="K128" s="27">
        <f>RDG!J8</f>
        <v>11847731</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21752679.18</v>
      </c>
      <c r="I130" s="4">
        <f aca="true" t="shared" si="7" ref="I130:I192">ABS(ROUND(J130,0)-J130)+ABS(ROUND(K130,0)-K130)</f>
        <v>0</v>
      </c>
      <c r="J130" s="27">
        <f>RDG!I10</f>
        <v>5195054</v>
      </c>
      <c r="K130" s="27">
        <f>RDG!J10</f>
        <v>5833744</v>
      </c>
    </row>
    <row r="131" spans="4:11" ht="12.75">
      <c r="D131" s="4" t="s">
        <v>794</v>
      </c>
      <c r="E131" s="4">
        <v>2</v>
      </c>
      <c r="F131" s="4">
        <f>RDG!G11</f>
        <v>130</v>
      </c>
      <c r="G131" s="4">
        <f>IF(RDG!H11=0,"",RDG!H11)</f>
      </c>
      <c r="H131" s="26">
        <f t="shared" si="6"/>
        <v>7561199.100000001</v>
      </c>
      <c r="I131" s="4">
        <f t="shared" si="7"/>
        <v>0</v>
      </c>
      <c r="J131" s="27">
        <f>RDG!I11</f>
        <v>1013285</v>
      </c>
      <c r="K131" s="27">
        <f>RDG!J11</f>
        <v>2401511</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13495740.72</v>
      </c>
      <c r="I133" s="4">
        <f t="shared" si="7"/>
        <v>0</v>
      </c>
      <c r="J133" s="27">
        <f>RDG!I13</f>
        <v>2999094</v>
      </c>
      <c r="K133" s="27">
        <f>RDG!J13</f>
        <v>3612476</v>
      </c>
    </row>
    <row r="134" spans="4:11" ht="12.75">
      <c r="D134" s="4" t="s">
        <v>794</v>
      </c>
      <c r="E134" s="4">
        <v>2</v>
      </c>
      <c r="F134" s="4">
        <f>RDG!G14</f>
        <v>133</v>
      </c>
      <c r="G134" s="4">
        <f>IF(RDG!H14=0,"",RDG!H14)</f>
      </c>
      <c r="H134" s="26">
        <f t="shared" si="6"/>
        <v>41978379.03</v>
      </c>
      <c r="I134" s="4">
        <f t="shared" si="7"/>
        <v>0</v>
      </c>
      <c r="J134" s="27">
        <f>RDG!I14</f>
        <v>9112577</v>
      </c>
      <c r="K134" s="27">
        <f>RDG!J14</f>
        <v>11225057</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13462630.65</v>
      </c>
      <c r="I136" s="4">
        <f t="shared" si="7"/>
        <v>0</v>
      </c>
      <c r="J136" s="27">
        <f>RDG!I16</f>
        <v>2652835</v>
      </c>
      <c r="K136" s="27">
        <f>RDG!J16</f>
        <v>3659742</v>
      </c>
    </row>
    <row r="137" spans="4:11" ht="12.75">
      <c r="D137" s="4" t="s">
        <v>794</v>
      </c>
      <c r="E137" s="4">
        <v>2</v>
      </c>
      <c r="F137" s="4">
        <f>RDG!G17</f>
        <v>136</v>
      </c>
      <c r="G137" s="4">
        <f>IF(RDG!H17=0,"",RDG!H17)</f>
      </c>
      <c r="H137" s="26">
        <f t="shared" si="6"/>
        <v>5417708.24</v>
      </c>
      <c r="I137" s="4">
        <f t="shared" si="7"/>
        <v>0</v>
      </c>
      <c r="J137" s="27">
        <f>RDG!I17</f>
        <v>1091817</v>
      </c>
      <c r="K137" s="27">
        <f>RDG!J17</f>
        <v>1445896</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8264419.8</v>
      </c>
      <c r="I139" s="4">
        <f t="shared" si="7"/>
        <v>0</v>
      </c>
      <c r="J139" s="27">
        <f>RDG!I19</f>
        <v>1561018</v>
      </c>
      <c r="K139" s="27">
        <f>RDG!J19</f>
        <v>2213846</v>
      </c>
    </row>
    <row r="140" spans="4:11" ht="12.75">
      <c r="D140" s="4" t="s">
        <v>794</v>
      </c>
      <c r="E140" s="4">
        <v>2</v>
      </c>
      <c r="F140" s="4">
        <f>RDG!G20</f>
        <v>139</v>
      </c>
      <c r="G140" s="4">
        <f>IF(RDG!H20=0,"",RDG!H20)</f>
      </c>
      <c r="H140" s="26">
        <f t="shared" si="6"/>
        <v>14935205.28</v>
      </c>
      <c r="I140" s="4">
        <f t="shared" si="7"/>
        <v>0</v>
      </c>
      <c r="J140" s="27">
        <f>RDG!I20</f>
        <v>3056688</v>
      </c>
      <c r="K140" s="27">
        <f>RDG!J20</f>
        <v>3844032</v>
      </c>
    </row>
    <row r="141" spans="4:11" ht="12.75">
      <c r="D141" s="4" t="s">
        <v>794</v>
      </c>
      <c r="E141" s="4">
        <v>2</v>
      </c>
      <c r="F141" s="4">
        <f>RDG!G21</f>
        <v>140</v>
      </c>
      <c r="G141" s="4">
        <f>IF(RDG!H21=0,"",RDG!H21)</f>
      </c>
      <c r="H141" s="26">
        <f t="shared" si="6"/>
        <v>9547980.399999999</v>
      </c>
      <c r="I141" s="4">
        <f t="shared" si="7"/>
        <v>0</v>
      </c>
      <c r="J141" s="27">
        <f>RDG!I21</f>
        <v>1969590</v>
      </c>
      <c r="K141" s="27">
        <f>RDG!J21</f>
        <v>2425198</v>
      </c>
    </row>
    <row r="142" spans="4:11" ht="12.75">
      <c r="D142" s="4" t="s">
        <v>794</v>
      </c>
      <c r="E142" s="4">
        <v>2</v>
      </c>
      <c r="F142" s="4">
        <f>RDG!G22</f>
        <v>141</v>
      </c>
      <c r="G142" s="4">
        <f>IF(RDG!H22=0,"",RDG!H22)</f>
      </c>
      <c r="H142" s="26">
        <f t="shared" si="6"/>
        <v>3293441.3400000003</v>
      </c>
      <c r="I142" s="4">
        <f t="shared" si="7"/>
        <v>0</v>
      </c>
      <c r="J142" s="27">
        <f>RDG!I22</f>
        <v>629700</v>
      </c>
      <c r="K142" s="27">
        <f>RDG!J22</f>
        <v>853037</v>
      </c>
    </row>
    <row r="143" spans="4:11" ht="12.75">
      <c r="D143" s="4" t="s">
        <v>794</v>
      </c>
      <c r="E143" s="4">
        <v>2</v>
      </c>
      <c r="F143" s="4">
        <f>RDG!G23</f>
        <v>142</v>
      </c>
      <c r="G143" s="4">
        <f>IF(RDG!H23=0,"",RDG!H23)</f>
      </c>
      <c r="H143" s="26">
        <f t="shared" si="6"/>
        <v>2256368.6399999997</v>
      </c>
      <c r="I143" s="4">
        <f t="shared" si="7"/>
        <v>0</v>
      </c>
      <c r="J143" s="27">
        <f>RDG!I23</f>
        <v>457398</v>
      </c>
      <c r="K143" s="27">
        <f>RDG!J23</f>
        <v>565797</v>
      </c>
    </row>
    <row r="144" spans="4:11" ht="12.75">
      <c r="D144" s="4" t="s">
        <v>794</v>
      </c>
      <c r="E144" s="4">
        <v>2</v>
      </c>
      <c r="F144" s="4">
        <f>RDG!G24</f>
        <v>143</v>
      </c>
      <c r="G144" s="4">
        <f>IF(RDG!H24=0,"",RDG!H24)</f>
      </c>
      <c r="H144" s="26">
        <f t="shared" si="6"/>
        <v>11995043.06</v>
      </c>
      <c r="I144" s="4">
        <f t="shared" si="7"/>
        <v>0</v>
      </c>
      <c r="J144" s="27">
        <f>RDG!I24</f>
        <v>2677012</v>
      </c>
      <c r="K144" s="27">
        <f>RDG!J24</f>
        <v>2855565</v>
      </c>
    </row>
    <row r="145" spans="4:11" ht="12.75">
      <c r="D145" s="4" t="s">
        <v>794</v>
      </c>
      <c r="E145" s="4">
        <v>2</v>
      </c>
      <c r="F145" s="4">
        <f>RDG!G25</f>
        <v>144</v>
      </c>
      <c r="G145" s="4">
        <f>IF(RDG!H25=0,"",RDG!H25)</f>
      </c>
      <c r="H145" s="26">
        <f t="shared" si="6"/>
        <v>2892003.84</v>
      </c>
      <c r="I145" s="4">
        <f t="shared" si="7"/>
        <v>0</v>
      </c>
      <c r="J145" s="27">
        <f>RDG!I25</f>
        <v>585440</v>
      </c>
      <c r="K145" s="27">
        <f>RDG!J25</f>
        <v>711448</v>
      </c>
    </row>
    <row r="146" spans="4:11" ht="12.75">
      <c r="D146" s="4" t="s">
        <v>794</v>
      </c>
      <c r="E146" s="4">
        <v>2</v>
      </c>
      <c r="F146" s="4">
        <f>RDG!G26</f>
        <v>145</v>
      </c>
      <c r="G146" s="4">
        <f>IF(RDG!H26=0,"",RDG!H26)</f>
      </c>
      <c r="H146" s="26">
        <f t="shared" si="6"/>
        <v>182617.35</v>
      </c>
      <c r="I146" s="4">
        <f t="shared" si="7"/>
        <v>0</v>
      </c>
      <c r="J146" s="27">
        <f>RDG!I26</f>
        <v>2599</v>
      </c>
      <c r="K146" s="27">
        <f>RDG!J26</f>
        <v>61672</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185136.21000000002</v>
      </c>
      <c r="I148" s="4">
        <f t="shared" si="7"/>
        <v>0</v>
      </c>
      <c r="J148" s="27">
        <f>RDG!I28</f>
        <v>2599</v>
      </c>
      <c r="K148" s="27">
        <f>RDG!J28</f>
        <v>61672</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500958.44999999995</v>
      </c>
      <c r="I156" s="4">
        <f t="shared" si="7"/>
        <v>0</v>
      </c>
      <c r="J156" s="27">
        <f>RDG!I36</f>
        <v>138003</v>
      </c>
      <c r="K156" s="27">
        <f>RDG!J36</f>
        <v>92598</v>
      </c>
    </row>
    <row r="157" spans="4:11" ht="12.75">
      <c r="D157" s="4" t="s">
        <v>794</v>
      </c>
      <c r="E157" s="4">
        <v>2</v>
      </c>
      <c r="F157" s="4">
        <f>RDG!G37</f>
        <v>156</v>
      </c>
      <c r="G157" s="4">
        <f>IF(RDG!H37=0,"",RDG!H37)</f>
      </c>
      <c r="H157" s="26">
        <f t="shared" si="6"/>
        <v>22100.52</v>
      </c>
      <c r="I157" s="4">
        <f t="shared" si="7"/>
        <v>0</v>
      </c>
      <c r="J157" s="27">
        <f>RDG!I37</f>
        <v>3189</v>
      </c>
      <c r="K157" s="27">
        <f>RDG!J37</f>
        <v>5489</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4850.879999999999</v>
      </c>
      <c r="I164" s="4">
        <f t="shared" si="7"/>
        <v>0</v>
      </c>
      <c r="J164" s="27">
        <f>RDG!I44</f>
        <v>1068</v>
      </c>
      <c r="K164" s="27">
        <f>RDG!J44</f>
        <v>954</v>
      </c>
    </row>
    <row r="165" spans="4:11" ht="12.75">
      <c r="D165" s="4" t="s">
        <v>794</v>
      </c>
      <c r="E165" s="4">
        <v>2</v>
      </c>
      <c r="F165" s="4">
        <f>RDG!G45</f>
        <v>164</v>
      </c>
      <c r="G165" s="4">
        <f>IF(RDG!H45=0,"",RDG!H45)</f>
      </c>
      <c r="H165" s="26">
        <f t="shared" si="6"/>
        <v>18353.24</v>
      </c>
      <c r="I165" s="4">
        <f t="shared" si="7"/>
        <v>0</v>
      </c>
      <c r="J165" s="27">
        <f>RDG!I45</f>
        <v>2121</v>
      </c>
      <c r="K165" s="27">
        <f>RDG!J45</f>
        <v>4535</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268592.78</v>
      </c>
      <c r="I168" s="4">
        <f t="shared" si="7"/>
        <v>0</v>
      </c>
      <c r="J168" s="27">
        <f>RDG!I48</f>
        <v>27846</v>
      </c>
      <c r="K168" s="27">
        <f>RDG!J48</f>
        <v>66494</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273417.8</v>
      </c>
      <c r="I171" s="4">
        <f t="shared" si="7"/>
        <v>0</v>
      </c>
      <c r="J171" s="27">
        <f>RDG!I51</f>
        <v>27846</v>
      </c>
      <c r="K171" s="27">
        <f>RDG!J51</f>
        <v>66494</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58921540.980000004</v>
      </c>
      <c r="I180" s="4">
        <f t="shared" si="7"/>
        <v>0</v>
      </c>
      <c r="J180" s="27">
        <f>RDG!I60</f>
        <v>9210622</v>
      </c>
      <c r="K180" s="27">
        <f>RDG!J60</f>
        <v>11853220</v>
      </c>
    </row>
    <row r="181" spans="4:11" ht="12.75">
      <c r="D181" s="4" t="s">
        <v>794</v>
      </c>
      <c r="E181" s="4">
        <v>2</v>
      </c>
      <c r="F181" s="4">
        <f>RDG!G61</f>
        <v>180</v>
      </c>
      <c r="G181" s="4">
        <f>IF(RDG!H61=0,"",RDG!H61)</f>
      </c>
      <c r="H181" s="26">
        <f t="shared" si="6"/>
        <v>57102345</v>
      </c>
      <c r="I181" s="4">
        <f t="shared" si="7"/>
        <v>0</v>
      </c>
      <c r="J181" s="27">
        <f>RDG!I61</f>
        <v>9140423</v>
      </c>
      <c r="K181" s="27">
        <f>RDG!J61</f>
        <v>11291551</v>
      </c>
    </row>
    <row r="182" spans="4:11" ht="12.75">
      <c r="D182" s="4" t="s">
        <v>794</v>
      </c>
      <c r="E182" s="4">
        <v>2</v>
      </c>
      <c r="F182" s="4">
        <f>RDG!G62</f>
        <v>181</v>
      </c>
      <c r="G182" s="4">
        <f>IF(RDG!H62=0,"",RDG!H62)</f>
      </c>
      <c r="H182" s="26">
        <f t="shared" si="6"/>
        <v>2160301.9699999997</v>
      </c>
      <c r="I182" s="4">
        <f t="shared" si="7"/>
        <v>0</v>
      </c>
      <c r="J182" s="27">
        <f>RDG!I62</f>
        <v>70199</v>
      </c>
      <c r="K182" s="27">
        <f>RDG!J62</f>
        <v>561669</v>
      </c>
    </row>
    <row r="183" spans="4:11" ht="12.75">
      <c r="D183" s="4" t="s">
        <v>794</v>
      </c>
      <c r="E183" s="4">
        <v>2</v>
      </c>
      <c r="F183" s="4">
        <f>RDG!G63</f>
        <v>182</v>
      </c>
      <c r="G183" s="4">
        <f>IF(RDG!H63=0,"",RDG!H63)</f>
      </c>
      <c r="H183" s="26">
        <f t="shared" si="6"/>
        <v>2172237.34</v>
      </c>
      <c r="I183" s="4">
        <f t="shared" si="7"/>
        <v>0</v>
      </c>
      <c r="J183" s="27">
        <f>RDG!I63</f>
        <v>70199</v>
      </c>
      <c r="K183" s="27">
        <f>RDG!J63</f>
        <v>561669</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2208043.4499999997</v>
      </c>
      <c r="I186" s="4">
        <f t="shared" si="7"/>
        <v>0</v>
      </c>
      <c r="J186" s="27">
        <f>RDG!I66</f>
        <v>70199</v>
      </c>
      <c r="K186" s="27">
        <f>RDG!J66</f>
        <v>561669</v>
      </c>
    </row>
    <row r="187" spans="4:11" ht="12.75">
      <c r="D187" s="4" t="s">
        <v>794</v>
      </c>
      <c r="E187" s="4">
        <v>2</v>
      </c>
      <c r="F187" s="4">
        <f>RDG!G67</f>
        <v>186</v>
      </c>
      <c r="G187" s="4">
        <f>IF(RDG!H67=0,"",RDG!H67)</f>
      </c>
      <c r="H187" s="26">
        <f t="shared" si="6"/>
        <v>2219978.82</v>
      </c>
      <c r="I187" s="4">
        <f t="shared" si="7"/>
        <v>0</v>
      </c>
      <c r="J187" s="27">
        <f>RDG!I67</f>
        <v>70199</v>
      </c>
      <c r="K187" s="27">
        <f>RDG!J67</f>
        <v>561669</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55"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6" activePane="bottomLeft" state="frozen"/>
      <selection pane="topLeft" activeCell="A2" sqref="A2"/>
      <selection pane="bottomLeft" activeCell="C120" sqref="C120:J120"/>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ODVODNJA SAMOBOR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t="str">
        <f>RefStr!L21</f>
        <v>72373373001</v>
      </c>
      <c r="V3" s="206" t="s">
        <v>2736</v>
      </c>
      <c r="W3" s="224">
        <f>RefStr!C31</f>
        <v>10430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87815496618</v>
      </c>
      <c r="V4" s="206" t="s">
        <v>2737</v>
      </c>
      <c r="W4" s="224" t="str">
        <f>RefStr!F31</f>
        <v>SAMOBOR</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04144724</v>
      </c>
      <c r="V5" s="206" t="s">
        <v>2738</v>
      </c>
      <c r="W5" s="224" t="str">
        <f>RefStr!C33</f>
        <v>Ulica 151. samoborske brigade HV 1</v>
      </c>
      <c r="X5" s="226" t="s">
        <v>2929</v>
      </c>
      <c r="Y5" s="227" t="str">
        <f>RefStr!I62</f>
        <v>DA</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080884061</v>
      </c>
      <c r="V6" s="206" t="s">
        <v>2968</v>
      </c>
      <c r="W6" s="224" t="str">
        <f>RefStr!L35</f>
        <v>+38515605370</v>
      </c>
      <c r="X6" s="206" t="s">
        <v>2926</v>
      </c>
      <c r="Y6" s="224" t="str">
        <f>RefStr!C68</f>
        <v>Kos Nadica</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1</v>
      </c>
      <c r="V7" s="206" t="s">
        <v>2884</v>
      </c>
      <c r="W7" s="224" t="str">
        <f>TRIM(UPPER(RefStr!C35))</f>
        <v>INFO@ODVODNJASAMOBOR.HR</v>
      </c>
      <c r="X7" s="206" t="s">
        <v>2927</v>
      </c>
      <c r="Y7" s="224" t="str">
        <f>RefStr!C70</f>
        <v>+385916304004</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Javno trgovačko društvo</v>
      </c>
      <c r="V8" s="206" t="s">
        <v>2974</v>
      </c>
      <c r="W8" s="224" t="str">
        <f>RefStr!C42</f>
        <v>3700</v>
      </c>
      <c r="X8" s="206" t="s">
        <v>2928</v>
      </c>
      <c r="Y8" s="224" t="str">
        <f>TRIM(UPPER(RefStr!C72))</f>
        <v>NADA.KOS@ODVODNJASAMOBOR.HR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26</v>
      </c>
      <c r="Q9" s="223">
        <f>RefStr!F58</f>
        <v>28</v>
      </c>
      <c r="R9" s="206" t="s">
        <v>914</v>
      </c>
      <c r="S9" s="224">
        <f>IF(RefStr!F4&lt;&gt;"",RefStr!F4,0)</f>
        <v>44926</v>
      </c>
      <c r="T9" s="206" t="s">
        <v>891</v>
      </c>
      <c r="U9" s="224">
        <f>RefStr!C39</f>
        <v>380</v>
      </c>
      <c r="V9" s="206" t="s">
        <v>2951</v>
      </c>
      <c r="W9" s="224" t="str">
        <f>RefStr!D42</f>
        <v>Uklanjanje otpadnih voda</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27</v>
      </c>
      <c r="Q10" s="225">
        <f>RefStr!F56</f>
        <v>29</v>
      </c>
      <c r="R10" s="208" t="s">
        <v>917</v>
      </c>
      <c r="S10" s="225">
        <f>RefStr!C23</f>
        <v>1</v>
      </c>
      <c r="T10" s="208" t="s">
        <v>2973</v>
      </c>
      <c r="U10" s="225" t="str">
        <f>RefStr!D39</f>
        <v>Samobor</v>
      </c>
      <c r="V10" s="232"/>
      <c r="W10" s="233"/>
      <c r="X10" s="234" t="s">
        <v>2279</v>
      </c>
      <c r="Y10" s="235">
        <f>RefStr!F12</f>
        <v>2022</v>
      </c>
      <c r="Z10" s="208" t="s">
        <v>1771</v>
      </c>
      <c r="AA10" s="225" t="str">
        <f>RefStr!A75</f>
        <v>Antonio Širanović, dipl.ing.sig., ing.građ.</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D:\Nada\OneDrive - ODVODNJA SAMOBOR d.o.o\_ODVODNJA SAMOBOR d.o.o\OBRAČUNI\obračuni 31 12 2022\[2022 GFI-POD fina_obrazac_statistika.xls]RefStr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I68" sqref="I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1</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414472.4</v>
      </c>
    </row>
    <row r="13" spans="4:17" ht="9.75" customHeight="1">
      <c r="D13" s="152"/>
      <c r="E13" s="158"/>
      <c r="H13" s="23"/>
      <c r="I13" s="159"/>
      <c r="J13" s="159"/>
      <c r="K13" s="152"/>
      <c r="L13" s="152"/>
      <c r="M13" s="152"/>
      <c r="N13" s="152"/>
      <c r="P13" s="50" t="s">
        <v>1561</v>
      </c>
      <c r="Q13" s="51">
        <f>INT(VALUE(M27))/50</f>
        <v>1617681.22</v>
      </c>
    </row>
    <row r="14" spans="1:17" ht="15">
      <c r="A14" s="289" t="s">
        <v>1312</v>
      </c>
      <c r="B14" s="289"/>
      <c r="C14" s="289"/>
      <c r="D14" s="160"/>
      <c r="E14" s="161"/>
      <c r="F14" s="287"/>
      <c r="G14" s="288"/>
      <c r="H14" s="288"/>
      <c r="I14" s="152"/>
      <c r="J14" s="310" t="s">
        <v>1978</v>
      </c>
      <c r="K14" s="311"/>
      <c r="L14" s="311"/>
      <c r="M14" s="311"/>
      <c r="N14" s="311"/>
      <c r="P14" s="50" t="s">
        <v>1316</v>
      </c>
      <c r="Q14" s="51">
        <f>INT(VALUE(C27))/100</f>
        <v>878154966.18</v>
      </c>
    </row>
    <row r="15" spans="1:17" ht="19.5" customHeight="1">
      <c r="A15" s="307">
        <f>Skriveni!B59</f>
        <v>3016071622.369999</v>
      </c>
      <c r="B15" s="308"/>
      <c r="C15" s="309"/>
      <c r="D15" s="56"/>
      <c r="E15" s="56"/>
      <c r="F15" s="56"/>
      <c r="G15" s="56"/>
      <c r="H15" s="56"/>
      <c r="I15" s="56"/>
      <c r="J15" s="56"/>
      <c r="K15" s="56"/>
      <c r="L15" s="56"/>
      <c r="M15" s="56"/>
      <c r="N15" s="56"/>
      <c r="P15" s="50" t="s">
        <v>887</v>
      </c>
      <c r="Q15" s="51">
        <f>LEN(Skriveni!B9)</f>
        <v>23</v>
      </c>
    </row>
    <row r="16" spans="4:17" ht="12.75" customHeight="1">
      <c r="D16" s="56"/>
      <c r="E16" s="56"/>
      <c r="F16" s="56"/>
      <c r="G16" s="56"/>
      <c r="H16" s="56"/>
      <c r="I16" s="56"/>
      <c r="P16" s="50" t="s">
        <v>888</v>
      </c>
      <c r="Q16" s="51">
        <f>INT(VALUE(C31))/100</f>
        <v>104.3</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7</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2994</v>
      </c>
      <c r="P19" s="50" t="s">
        <v>890</v>
      </c>
      <c r="Q19" s="51">
        <f>LEN(Skriveni!B12)</f>
        <v>34</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1587</v>
      </c>
      <c r="J21" s="290" t="s">
        <v>1988</v>
      </c>
      <c r="K21" s="291"/>
      <c r="L21" s="282" t="s">
        <v>2996</v>
      </c>
      <c r="M21" s="283"/>
      <c r="N21" s="284"/>
      <c r="P21" s="50" t="s">
        <v>891</v>
      </c>
      <c r="Q21" s="51">
        <f>INT(VALUE(C39))</f>
        <v>380</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3700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2985</v>
      </c>
      <c r="D29" s="348"/>
      <c r="E29" s="348"/>
      <c r="F29" s="348"/>
      <c r="G29" s="348"/>
      <c r="H29" s="348"/>
      <c r="I29" s="348"/>
      <c r="J29" s="348"/>
      <c r="K29" s="348"/>
      <c r="L29" s="349"/>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10430</v>
      </c>
      <c r="D31" s="343" t="s">
        <v>929</v>
      </c>
      <c r="E31" s="344"/>
      <c r="F31" s="345" t="s">
        <v>2986</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2992</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2987</v>
      </c>
      <c r="D35" s="277"/>
      <c r="E35" s="277"/>
      <c r="F35" s="277"/>
      <c r="G35" s="277"/>
      <c r="H35" s="277"/>
      <c r="I35" s="278"/>
      <c r="J35" s="275" t="s">
        <v>1750</v>
      </c>
      <c r="K35" s="296"/>
      <c r="L35" s="282" t="s">
        <v>2993</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2988</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380</v>
      </c>
      <c r="D39" s="358" t="str">
        <f>IF(C39="","Upišite šifru grada/općine",IF(ISNA(LOOKUP(C39,A177:A732,A177:A732)),"Šifra grada/općine ne postoji",IF(LOOKUP(C39,A177:A732,A177:A732)&lt;&gt;C39,"Šifra grada/općine ne postoji",LOOKUP(C39,A177:A732,B177:B732))))</f>
        <v>Samobor</v>
      </c>
      <c r="E39" s="359"/>
      <c r="F39" s="359"/>
      <c r="G39" s="359"/>
      <c r="H39" s="279" t="s">
        <v>2109</v>
      </c>
      <c r="I39" s="280"/>
      <c r="J39" s="54">
        <f>IF(C39&gt;0,LOOKUP(C39,A177:A732,C177:C732),"")</f>
        <v>1</v>
      </c>
      <c r="K39" s="350" t="str">
        <f>IF(J39="","Upišite šifru grada/općine",LOOKUP(J39,A153:A173,B153:B173))</f>
        <v>ZAGREBAČKA</v>
      </c>
      <c r="L39" s="350"/>
      <c r="M39" s="350"/>
      <c r="N39" s="350"/>
      <c r="P39" s="50" t="s">
        <v>896</v>
      </c>
      <c r="Q39" s="51">
        <f>C56+2*F56+3*C58+4*F58</f>
        <v>275</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2348</v>
      </c>
      <c r="D42" s="356" t="str">
        <f>IF(C42="","Upišite šifru razreda glavne djelatnosti",IF(ISNA(LOOKUP(C42,A736:A1351,A736:A1351)),"Šifra NKD-a ne postoji",IF(LOOKUP(C42,A736:A1351,A736:A1351)&lt;&gt;C42,"Šifra NKD-a ne postoji",LOOKUP(C42,A736:A1351,B736:B1351))))</f>
        <v>Uklanjanje otpadnih voda</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43</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723733730.01</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27</v>
      </c>
      <c r="D56" s="272" t="s">
        <v>2653</v>
      </c>
      <c r="E56" s="362"/>
      <c r="F56" s="40">
        <v>29</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26</v>
      </c>
      <c r="D58" s="354" t="s">
        <v>2653</v>
      </c>
      <c r="E58" s="354"/>
      <c r="F58" s="40">
        <v>28</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1587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2989</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2990</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2991</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2995</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66" operator="equal" stopIfTrue="1">
      <formula>"DA"</formula>
    </cfRule>
  </conditionalFormatting>
  <conditionalFormatting sqref="F4:G4">
    <cfRule type="cellIs" priority="2" dxfId="63" operator="lessThan" stopIfTrue="1">
      <formula>$C$4</formula>
    </cfRule>
  </conditionalFormatting>
  <conditionalFormatting sqref="D44:N44">
    <cfRule type="cellIs" priority="5" dxfId="55" operator="equal" stopIfTrue="1">
      <formula>"Upisana je nepostojeća ili neprepoznatljiva šifra statusa autonomnosti"</formula>
    </cfRule>
  </conditionalFormatting>
  <conditionalFormatting sqref="N25 D17:N18 D26:N26">
    <cfRule type="cellIs" priority="6" dxfId="55" operator="equal" stopIfTrue="1">
      <formula>"Upisana je nepostojeća ili neprepoznatljiva vrsta izvještaja"</formula>
    </cfRule>
  </conditionalFormatting>
  <conditionalFormatting sqref="C20 D19 I20">
    <cfRule type="cellIs" priority="7" dxfId="55" operator="equal" stopIfTrue="1">
      <formula>"Nepostojeća ili neprepoznatljiva svrha predaje"</formula>
    </cfRule>
  </conditionalFormatting>
  <conditionalFormatting sqref="D42:N42">
    <cfRule type="cellIs" priority="8" dxfId="55" operator="equal" stopIfTrue="1">
      <formula>"Šifra NKD-a ne postoji"</formula>
    </cfRule>
  </conditionalFormatting>
  <conditionalFormatting sqref="E51:G51 D50:D51">
    <cfRule type="cellIs" priority="9" dxfId="55" operator="equal" stopIfTrue="1">
      <formula>"Nepostojeća oznaka veličine"</formula>
    </cfRule>
  </conditionalFormatting>
  <conditionalFormatting sqref="D52:H52">
    <cfRule type="cellIs" priority="10" dxfId="55" operator="equal" stopIfTrue="1">
      <formula>"Nepostojeća oznaka vlasništva"</formula>
    </cfRule>
  </conditionalFormatting>
  <conditionalFormatting sqref="D7:N7">
    <cfRule type="cellIs" priority="11" dxfId="55" operator="equal" stopIfTrue="1">
      <formula>"Upisana je nepostojeća ili neprepoznatljiva vrsta poslovnog subjekta"</formula>
    </cfRule>
  </conditionalFormatting>
  <conditionalFormatting sqref="D39:G39">
    <cfRule type="cellIs" priority="12" dxfId="55" operator="equal" stopIfTrue="1">
      <formula>"Šifra grada/općine ne postoji"</formula>
    </cfRule>
  </conditionalFormatting>
  <conditionalFormatting sqref="A3:N3">
    <cfRule type="cellIs" priority="23" dxfId="67"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1" activePane="bottomLeft" state="frozen"/>
      <selection pane="topLeft" activeCell="A1" sqref="A1"/>
      <selection pane="bottomLeft" activeCell="I45" sqref="I4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87815496618; ODVODNJA SAMOBOR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85715089</v>
      </c>
      <c r="J10" s="66">
        <f>J11+J18+J28+J39+J44</f>
        <v>90414695</v>
      </c>
    </row>
    <row r="11" spans="1:10" ht="13.5" customHeight="1">
      <c r="A11" s="390" t="s">
        <v>904</v>
      </c>
      <c r="B11" s="390"/>
      <c r="C11" s="390"/>
      <c r="D11" s="390"/>
      <c r="E11" s="390"/>
      <c r="F11" s="390"/>
      <c r="G11" s="15">
        <v>3</v>
      </c>
      <c r="H11" s="16"/>
      <c r="I11" s="66">
        <f>SUM(I12:I17)</f>
        <v>0</v>
      </c>
      <c r="J11" s="66">
        <f>SUM(J12:J17)</f>
        <v>121218</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v>121218</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85715089</v>
      </c>
      <c r="J18" s="66">
        <f>SUM(J19:J27)</f>
        <v>90293477</v>
      </c>
    </row>
    <row r="19" spans="1:10" ht="13.5" customHeight="1">
      <c r="A19" s="387" t="s">
        <v>733</v>
      </c>
      <c r="B19" s="387"/>
      <c r="C19" s="387"/>
      <c r="D19" s="387"/>
      <c r="E19" s="387"/>
      <c r="F19" s="387"/>
      <c r="G19" s="15">
        <v>11</v>
      </c>
      <c r="H19" s="16"/>
      <c r="I19" s="67">
        <v>1558707</v>
      </c>
      <c r="J19" s="67">
        <v>1558707</v>
      </c>
    </row>
    <row r="20" spans="1:10" ht="13.5" customHeight="1">
      <c r="A20" s="387" t="s">
        <v>796</v>
      </c>
      <c r="B20" s="387"/>
      <c r="C20" s="387"/>
      <c r="D20" s="387"/>
      <c r="E20" s="387"/>
      <c r="F20" s="387"/>
      <c r="G20" s="15">
        <v>12</v>
      </c>
      <c r="H20" s="16"/>
      <c r="I20" s="67">
        <v>65175431</v>
      </c>
      <c r="J20" s="67">
        <v>66760309</v>
      </c>
    </row>
    <row r="21" spans="1:10" ht="13.5" customHeight="1">
      <c r="A21" s="387" t="s">
        <v>734</v>
      </c>
      <c r="B21" s="387"/>
      <c r="C21" s="387"/>
      <c r="D21" s="387"/>
      <c r="E21" s="387"/>
      <c r="F21" s="387"/>
      <c r="G21" s="15">
        <v>13</v>
      </c>
      <c r="H21" s="16"/>
      <c r="I21" s="67">
        <v>469202</v>
      </c>
      <c r="J21" s="67">
        <v>2499184</v>
      </c>
    </row>
    <row r="22" spans="1:10" ht="13.5" customHeight="1">
      <c r="A22" s="387" t="s">
        <v>405</v>
      </c>
      <c r="B22" s="387"/>
      <c r="C22" s="387"/>
      <c r="D22" s="387"/>
      <c r="E22" s="387"/>
      <c r="F22" s="387"/>
      <c r="G22" s="15">
        <v>14</v>
      </c>
      <c r="H22" s="16"/>
      <c r="I22" s="67">
        <v>1908209</v>
      </c>
      <c r="J22" s="67">
        <v>1782755</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v>16603540</v>
      </c>
      <c r="J25" s="67">
        <v>17692522</v>
      </c>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7487269</v>
      </c>
      <c r="J45" s="66">
        <f>J46+J54+J61+J71</f>
        <v>11666093</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3698850</v>
      </c>
      <c r="J54" s="66">
        <f>SUM(J55:J60)</f>
        <v>5494705</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3247325</v>
      </c>
      <c r="J57" s="67">
        <v>3672017</v>
      </c>
    </row>
    <row r="58" spans="1:10" ht="13.5" customHeight="1">
      <c r="A58" s="387" t="s">
        <v>2009</v>
      </c>
      <c r="B58" s="387"/>
      <c r="C58" s="387"/>
      <c r="D58" s="387"/>
      <c r="E58" s="387"/>
      <c r="F58" s="387"/>
      <c r="G58" s="15">
        <v>50</v>
      </c>
      <c r="H58" s="16"/>
      <c r="I58" s="67">
        <v>60000</v>
      </c>
      <c r="J58" s="67"/>
    </row>
    <row r="59" spans="1:10" ht="13.5" customHeight="1">
      <c r="A59" s="387" t="s">
        <v>2010</v>
      </c>
      <c r="B59" s="387"/>
      <c r="C59" s="387"/>
      <c r="D59" s="387"/>
      <c r="E59" s="387"/>
      <c r="F59" s="387"/>
      <c r="G59" s="15">
        <v>51</v>
      </c>
      <c r="H59" s="16"/>
      <c r="I59" s="67"/>
      <c r="J59" s="67">
        <v>22347</v>
      </c>
    </row>
    <row r="60" spans="1:10" ht="13.5" customHeight="1">
      <c r="A60" s="387" t="s">
        <v>1255</v>
      </c>
      <c r="B60" s="387"/>
      <c r="C60" s="387"/>
      <c r="D60" s="387"/>
      <c r="E60" s="387"/>
      <c r="F60" s="387"/>
      <c r="G60" s="15">
        <v>52</v>
      </c>
      <c r="H60" s="16"/>
      <c r="I60" s="67">
        <v>391525</v>
      </c>
      <c r="J60" s="67">
        <v>1800341</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3788419</v>
      </c>
      <c r="J71" s="67">
        <v>6171388</v>
      </c>
    </row>
    <row r="72" spans="1:10" ht="24.75" customHeight="1">
      <c r="A72" s="385" t="s">
        <v>591</v>
      </c>
      <c r="B72" s="385"/>
      <c r="C72" s="385"/>
      <c r="D72" s="385"/>
      <c r="E72" s="385"/>
      <c r="F72" s="385"/>
      <c r="G72" s="15">
        <v>64</v>
      </c>
      <c r="H72" s="16"/>
      <c r="I72" s="67">
        <v>39096</v>
      </c>
      <c r="J72" s="67">
        <v>49359</v>
      </c>
    </row>
    <row r="73" spans="1:10" ht="13.5" customHeight="1">
      <c r="A73" s="385" t="s">
        <v>1267</v>
      </c>
      <c r="B73" s="385"/>
      <c r="C73" s="385"/>
      <c r="D73" s="385"/>
      <c r="E73" s="385"/>
      <c r="F73" s="385"/>
      <c r="G73" s="15">
        <v>65</v>
      </c>
      <c r="H73" s="16"/>
      <c r="I73" s="66">
        <f>I9+I10+I45+I72</f>
        <v>93241454</v>
      </c>
      <c r="J73" s="66">
        <f>J9+J10+J45+J72</f>
        <v>102130147</v>
      </c>
    </row>
    <row r="74" spans="1:10" ht="13.5" customHeight="1">
      <c r="A74" s="386" t="s">
        <v>1004</v>
      </c>
      <c r="B74" s="386"/>
      <c r="C74" s="386"/>
      <c r="D74" s="386"/>
      <c r="E74" s="386"/>
      <c r="F74" s="386"/>
      <c r="G74" s="17">
        <v>66</v>
      </c>
      <c r="H74" s="18"/>
      <c r="I74" s="68">
        <v>4240562</v>
      </c>
      <c r="J74" s="68">
        <v>7503619</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570263</v>
      </c>
      <c r="J76" s="66">
        <f>J77+J78+J79+J85+J86+J92+J95+J98</f>
        <v>1131932</v>
      </c>
      <c r="L76" s="2" t="s">
        <v>1209</v>
      </c>
    </row>
    <row r="77" spans="1:10" ht="13.5" customHeight="1">
      <c r="A77" s="390" t="s">
        <v>1857</v>
      </c>
      <c r="B77" s="390"/>
      <c r="C77" s="390"/>
      <c r="D77" s="390"/>
      <c r="E77" s="390"/>
      <c r="F77" s="390"/>
      <c r="G77" s="15">
        <v>68</v>
      </c>
      <c r="H77" s="16"/>
      <c r="I77" s="67">
        <v>1550000</v>
      </c>
      <c r="J77" s="67">
        <v>1550000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-1049936</v>
      </c>
      <c r="J92" s="66">
        <f>J93-J94</f>
        <v>-979737</v>
      </c>
      <c r="L92" s="2" t="s">
        <v>1209</v>
      </c>
    </row>
    <row r="93" spans="1:10" ht="13.5" customHeight="1">
      <c r="A93" s="387" t="s">
        <v>2830</v>
      </c>
      <c r="B93" s="387"/>
      <c r="C93" s="387"/>
      <c r="D93" s="387"/>
      <c r="E93" s="387"/>
      <c r="F93" s="387"/>
      <c r="G93" s="15">
        <v>84</v>
      </c>
      <c r="H93" s="16"/>
      <c r="I93" s="67"/>
      <c r="J93" s="67"/>
    </row>
    <row r="94" spans="1:10" ht="13.5" customHeight="1">
      <c r="A94" s="387" t="s">
        <v>2831</v>
      </c>
      <c r="B94" s="387"/>
      <c r="C94" s="387"/>
      <c r="D94" s="387"/>
      <c r="E94" s="387"/>
      <c r="F94" s="387"/>
      <c r="G94" s="15">
        <v>85</v>
      </c>
      <c r="H94" s="16"/>
      <c r="I94" s="67">
        <v>1049936</v>
      </c>
      <c r="J94" s="67">
        <v>979737</v>
      </c>
    </row>
    <row r="95" spans="1:12" ht="13.5" customHeight="1">
      <c r="A95" s="390" t="s">
        <v>2487</v>
      </c>
      <c r="B95" s="390"/>
      <c r="C95" s="390"/>
      <c r="D95" s="390"/>
      <c r="E95" s="390"/>
      <c r="F95" s="390"/>
      <c r="G95" s="15">
        <v>86</v>
      </c>
      <c r="H95" s="16"/>
      <c r="I95" s="66">
        <f>I96-I97</f>
        <v>70199</v>
      </c>
      <c r="J95" s="66">
        <f>J96-J97</f>
        <v>561669</v>
      </c>
      <c r="L95" s="2" t="s">
        <v>1209</v>
      </c>
    </row>
    <row r="96" spans="1:10" ht="13.5" customHeight="1">
      <c r="A96" s="387" t="s">
        <v>1257</v>
      </c>
      <c r="B96" s="387"/>
      <c r="C96" s="387"/>
      <c r="D96" s="387"/>
      <c r="E96" s="387"/>
      <c r="F96" s="387"/>
      <c r="G96" s="15">
        <v>87</v>
      </c>
      <c r="H96" s="16"/>
      <c r="I96" s="67">
        <v>70199</v>
      </c>
      <c r="J96" s="67">
        <v>561669</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47797</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v>47797</v>
      </c>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226888</v>
      </c>
      <c r="J106" s="66">
        <f>SUM(J107:J117)</f>
        <v>1796118</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226888</v>
      </c>
      <c r="J112" s="67">
        <v>1796118</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2109714</v>
      </c>
      <c r="J118" s="66">
        <f>SUM(J119:J132)</f>
        <v>2357749</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v>381150</v>
      </c>
      <c r="J124" s="67">
        <v>225911</v>
      </c>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445606</v>
      </c>
      <c r="J126" s="67">
        <v>583996</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174172</v>
      </c>
      <c r="J128" s="67">
        <v>252495</v>
      </c>
    </row>
    <row r="129" spans="1:10" ht="13.5" customHeight="1">
      <c r="A129" s="387" t="s">
        <v>2023</v>
      </c>
      <c r="B129" s="387"/>
      <c r="C129" s="387"/>
      <c r="D129" s="387"/>
      <c r="E129" s="387"/>
      <c r="F129" s="387"/>
      <c r="G129" s="15">
        <v>120</v>
      </c>
      <c r="H129" s="16"/>
      <c r="I129" s="67">
        <v>105557</v>
      </c>
      <c r="J129" s="67">
        <v>129885</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1003229</v>
      </c>
      <c r="J132" s="67">
        <v>1165462</v>
      </c>
    </row>
    <row r="133" spans="1:10" ht="24.75" customHeight="1">
      <c r="A133" s="385" t="s">
        <v>593</v>
      </c>
      <c r="B133" s="385"/>
      <c r="C133" s="385"/>
      <c r="D133" s="385"/>
      <c r="E133" s="385"/>
      <c r="F133" s="385"/>
      <c r="G133" s="15">
        <v>124</v>
      </c>
      <c r="H133" s="16"/>
      <c r="I133" s="67">
        <v>90286792</v>
      </c>
      <c r="J133" s="67">
        <v>96844348</v>
      </c>
    </row>
    <row r="134" spans="1:10" ht="13.5" customHeight="1">
      <c r="A134" s="385" t="s">
        <v>360</v>
      </c>
      <c r="B134" s="385"/>
      <c r="C134" s="385"/>
      <c r="D134" s="385"/>
      <c r="E134" s="385"/>
      <c r="F134" s="385"/>
      <c r="G134" s="15">
        <v>125</v>
      </c>
      <c r="H134" s="16"/>
      <c r="I134" s="66">
        <f>I76+I99+I106+I118+I133</f>
        <v>93241454</v>
      </c>
      <c r="J134" s="66">
        <f>J76+J99+J106+J118+J133</f>
        <v>102130147</v>
      </c>
    </row>
    <row r="135" spans="1:10" ht="13.5" customHeight="1">
      <c r="A135" s="386" t="s">
        <v>1512</v>
      </c>
      <c r="B135" s="386"/>
      <c r="C135" s="386"/>
      <c r="D135" s="386"/>
      <c r="E135" s="386"/>
      <c r="F135" s="386"/>
      <c r="G135" s="17">
        <v>126</v>
      </c>
      <c r="H135" s="18"/>
      <c r="I135" s="68">
        <v>4240562</v>
      </c>
      <c r="J135" s="68">
        <v>7503619</v>
      </c>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9" dxfId="2" operator="notEqual" stopIfTrue="1">
      <formula>ROUND(I76,0)</formula>
    </cfRule>
  </conditionalFormatting>
  <conditionalFormatting sqref="I9:J18 I77:J77 I96:J97 I99:J123 I93:J94 I23:J56 J19:J22 I61:J70 J57:J60 I73:J74 J71:J72 I134:J135 J124:J133">
    <cfRule type="cellIs" priority="10" dxfId="2" operator="notEqual" stopIfTrue="1">
      <formula>ROUND(I9,0)</formula>
    </cfRule>
    <cfRule type="cellIs" priority="11" dxfId="1" operator="lessThan" stopIfTrue="1">
      <formula>0</formula>
    </cfRule>
  </conditionalFormatting>
  <conditionalFormatting sqref="I19:I22">
    <cfRule type="cellIs" priority="7" dxfId="2" operator="notEqual" stopIfTrue="1">
      <formula>ROUND(I19,0)</formula>
    </cfRule>
    <cfRule type="cellIs" priority="8" dxfId="1" operator="lessThan" stopIfTrue="1">
      <formula>0</formula>
    </cfRule>
  </conditionalFormatting>
  <conditionalFormatting sqref="I57:I60">
    <cfRule type="cellIs" priority="5" dxfId="2" operator="notEqual" stopIfTrue="1">
      <formula>ROUND(I57,0)</formula>
    </cfRule>
    <cfRule type="cellIs" priority="6" dxfId="1" operator="lessThan" stopIfTrue="1">
      <formula>0</formula>
    </cfRule>
  </conditionalFormatting>
  <conditionalFormatting sqref="I71:I72">
    <cfRule type="cellIs" priority="3" dxfId="2" operator="notEqual" stopIfTrue="1">
      <formula>ROUND(I71,0)</formula>
    </cfRule>
    <cfRule type="cellIs" priority="4" dxfId="1" operator="lessThan" stopIfTrue="1">
      <formula>0</formula>
    </cfRule>
  </conditionalFormatting>
  <conditionalFormatting sqref="I124:I133">
    <cfRule type="cellIs" priority="1" dxfId="2" operator="notEqual" stopIfTrue="1">
      <formula>ROUND(I124,0)</formula>
    </cfRule>
    <cfRule type="cellIs" priority="2"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9" activePane="bottomLeft" state="frozen"/>
      <selection pane="topLeft" activeCell="A1" sqref="A1"/>
      <selection pane="bottomLeft" activeCell="J61" sqref="J6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87815496618; ODVODNJA SAMOBOR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9207433</v>
      </c>
      <c r="J8" s="80">
        <f>SUM(J9:J13)</f>
        <v>11847731</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5195054</v>
      </c>
      <c r="J10" s="67">
        <v>5833744</v>
      </c>
    </row>
    <row r="11" spans="1:10" s="2" customFormat="1" ht="14.25" customHeight="1">
      <c r="A11" s="387" t="s">
        <v>1086</v>
      </c>
      <c r="B11" s="387"/>
      <c r="C11" s="387"/>
      <c r="D11" s="387"/>
      <c r="E11" s="387"/>
      <c r="F11" s="387"/>
      <c r="G11" s="15">
        <v>130</v>
      </c>
      <c r="H11" s="16"/>
      <c r="I11" s="67">
        <v>1013285</v>
      </c>
      <c r="J11" s="67">
        <v>2401511</v>
      </c>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2999094</v>
      </c>
      <c r="J13" s="67">
        <v>3612476</v>
      </c>
    </row>
    <row r="14" spans="1:10" s="2" customFormat="1" ht="14.25" customHeight="1">
      <c r="A14" s="385" t="s">
        <v>2492</v>
      </c>
      <c r="B14" s="385"/>
      <c r="C14" s="385"/>
      <c r="D14" s="385"/>
      <c r="E14" s="385"/>
      <c r="F14" s="385"/>
      <c r="G14" s="15">
        <v>133</v>
      </c>
      <c r="H14" s="16"/>
      <c r="I14" s="66">
        <f>I15+I16+I20+I24+I25+I26+I29+I36</f>
        <v>9112577</v>
      </c>
      <c r="J14" s="66">
        <f>J15+J16+J20+J24+J25+J26+J29+J36</f>
        <v>11225057</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2652835</v>
      </c>
      <c r="J16" s="66">
        <f>SUM(J17:J19)</f>
        <v>3659742</v>
      </c>
    </row>
    <row r="17" spans="1:10" s="2" customFormat="1" ht="14.25" customHeight="1">
      <c r="A17" s="413" t="s">
        <v>1273</v>
      </c>
      <c r="B17" s="413"/>
      <c r="C17" s="413"/>
      <c r="D17" s="413"/>
      <c r="E17" s="413"/>
      <c r="F17" s="413"/>
      <c r="G17" s="15">
        <v>136</v>
      </c>
      <c r="H17" s="16"/>
      <c r="I17" s="67">
        <v>1091817</v>
      </c>
      <c r="J17" s="67">
        <v>1445896</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1561018</v>
      </c>
      <c r="J19" s="67">
        <v>2213846</v>
      </c>
    </row>
    <row r="20" spans="1:10" s="2" customFormat="1" ht="14.25" customHeight="1">
      <c r="A20" s="387" t="s">
        <v>2494</v>
      </c>
      <c r="B20" s="387"/>
      <c r="C20" s="387"/>
      <c r="D20" s="387"/>
      <c r="E20" s="387"/>
      <c r="F20" s="387"/>
      <c r="G20" s="15">
        <v>139</v>
      </c>
      <c r="H20" s="16"/>
      <c r="I20" s="66">
        <f>SUM(I21:I23)</f>
        <v>3056688</v>
      </c>
      <c r="J20" s="66">
        <f>SUM(J21:J23)</f>
        <v>3844032</v>
      </c>
    </row>
    <row r="21" spans="1:10" s="2" customFormat="1" ht="14.25" customHeight="1">
      <c r="A21" s="413" t="s">
        <v>960</v>
      </c>
      <c r="B21" s="413"/>
      <c r="C21" s="413"/>
      <c r="D21" s="413"/>
      <c r="E21" s="413"/>
      <c r="F21" s="413"/>
      <c r="G21" s="15">
        <v>140</v>
      </c>
      <c r="H21" s="16"/>
      <c r="I21" s="67">
        <v>1969590</v>
      </c>
      <c r="J21" s="67">
        <v>2425198</v>
      </c>
    </row>
    <row r="22" spans="1:10" s="2" customFormat="1" ht="14.25" customHeight="1">
      <c r="A22" s="413" t="s">
        <v>1883</v>
      </c>
      <c r="B22" s="413"/>
      <c r="C22" s="413"/>
      <c r="D22" s="413"/>
      <c r="E22" s="413"/>
      <c r="F22" s="413"/>
      <c r="G22" s="15">
        <v>141</v>
      </c>
      <c r="H22" s="16"/>
      <c r="I22" s="67">
        <v>629700</v>
      </c>
      <c r="J22" s="67">
        <v>853037</v>
      </c>
    </row>
    <row r="23" spans="1:10" s="2" customFormat="1" ht="14.25" customHeight="1">
      <c r="A23" s="413" t="s">
        <v>1884</v>
      </c>
      <c r="B23" s="413"/>
      <c r="C23" s="413"/>
      <c r="D23" s="413"/>
      <c r="E23" s="413"/>
      <c r="F23" s="413"/>
      <c r="G23" s="15">
        <v>142</v>
      </c>
      <c r="H23" s="16"/>
      <c r="I23" s="67">
        <v>457398</v>
      </c>
      <c r="J23" s="67">
        <v>565797</v>
      </c>
    </row>
    <row r="24" spans="1:10" s="2" customFormat="1" ht="14.25" customHeight="1">
      <c r="A24" s="387" t="s">
        <v>1006</v>
      </c>
      <c r="B24" s="387"/>
      <c r="C24" s="387"/>
      <c r="D24" s="387"/>
      <c r="E24" s="387"/>
      <c r="F24" s="387"/>
      <c r="G24" s="15">
        <v>143</v>
      </c>
      <c r="H24" s="16"/>
      <c r="I24" s="67">
        <v>2677012</v>
      </c>
      <c r="J24" s="67">
        <v>2855565</v>
      </c>
    </row>
    <row r="25" spans="1:10" s="2" customFormat="1" ht="14.25" customHeight="1">
      <c r="A25" s="387" t="s">
        <v>1007</v>
      </c>
      <c r="B25" s="387"/>
      <c r="C25" s="387"/>
      <c r="D25" s="387"/>
      <c r="E25" s="387"/>
      <c r="F25" s="387"/>
      <c r="G25" s="15">
        <v>144</v>
      </c>
      <c r="H25" s="16"/>
      <c r="I25" s="67">
        <v>585440</v>
      </c>
      <c r="J25" s="67">
        <v>711448</v>
      </c>
    </row>
    <row r="26" spans="1:12" s="2" customFormat="1" ht="14.25" customHeight="1">
      <c r="A26" s="387" t="s">
        <v>2495</v>
      </c>
      <c r="B26" s="387"/>
      <c r="C26" s="387"/>
      <c r="D26" s="387"/>
      <c r="E26" s="387"/>
      <c r="F26" s="387"/>
      <c r="G26" s="15">
        <v>145</v>
      </c>
      <c r="H26" s="16"/>
      <c r="I26" s="66">
        <f>SUM(I27:I28)</f>
        <v>2599</v>
      </c>
      <c r="J26" s="66">
        <f>SUM(J27:J28)</f>
        <v>61672</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v>2599</v>
      </c>
      <c r="J28" s="67">
        <v>61672</v>
      </c>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138003</v>
      </c>
      <c r="J36" s="67">
        <v>92598</v>
      </c>
    </row>
    <row r="37" spans="1:10" s="2" customFormat="1" ht="14.25" customHeight="1">
      <c r="A37" s="385" t="s">
        <v>2497</v>
      </c>
      <c r="B37" s="385"/>
      <c r="C37" s="385"/>
      <c r="D37" s="385"/>
      <c r="E37" s="385"/>
      <c r="F37" s="385"/>
      <c r="G37" s="15">
        <v>156</v>
      </c>
      <c r="H37" s="16"/>
      <c r="I37" s="66">
        <f>SUM(I38:I47)</f>
        <v>3189</v>
      </c>
      <c r="J37" s="66">
        <f>SUM(J38:J47)</f>
        <v>5489</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1068</v>
      </c>
      <c r="J44" s="67">
        <v>954</v>
      </c>
    </row>
    <row r="45" spans="1:10" s="2" customFormat="1" ht="14.25" customHeight="1">
      <c r="A45" s="387" t="s">
        <v>2961</v>
      </c>
      <c r="B45" s="387"/>
      <c r="C45" s="387"/>
      <c r="D45" s="387"/>
      <c r="E45" s="387"/>
      <c r="F45" s="387"/>
      <c r="G45" s="15">
        <v>164</v>
      </c>
      <c r="H45" s="16"/>
      <c r="I45" s="67">
        <v>2121</v>
      </c>
      <c r="J45" s="67">
        <v>4535</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27846</v>
      </c>
      <c r="J48" s="66">
        <f>SUM(J49:J55)</f>
        <v>66494</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27846</v>
      </c>
      <c r="J51" s="67">
        <v>66494</v>
      </c>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9210622</v>
      </c>
      <c r="J60" s="66">
        <f>J8+J37+J56+J57</f>
        <v>11853220</v>
      </c>
    </row>
    <row r="61" spans="1:10" s="2" customFormat="1" ht="14.25" customHeight="1">
      <c r="A61" s="385" t="s">
        <v>2500</v>
      </c>
      <c r="B61" s="385"/>
      <c r="C61" s="385"/>
      <c r="D61" s="385"/>
      <c r="E61" s="385"/>
      <c r="F61" s="385"/>
      <c r="G61" s="15">
        <v>180</v>
      </c>
      <c r="H61" s="16"/>
      <c r="I61" s="66">
        <f>I14+I48+I58+I59</f>
        <v>9140423</v>
      </c>
      <c r="J61" s="66">
        <f>J14+J48+J58+J59</f>
        <v>11291551</v>
      </c>
    </row>
    <row r="62" spans="1:12" s="2" customFormat="1" ht="14.25" customHeight="1">
      <c r="A62" s="385" t="s">
        <v>2501</v>
      </c>
      <c r="B62" s="385"/>
      <c r="C62" s="385"/>
      <c r="D62" s="385"/>
      <c r="E62" s="385"/>
      <c r="F62" s="385"/>
      <c r="G62" s="15">
        <v>181</v>
      </c>
      <c r="H62" s="16"/>
      <c r="I62" s="66">
        <f>I60-I61</f>
        <v>70199</v>
      </c>
      <c r="J62" s="66">
        <f>J60-J61</f>
        <v>561669</v>
      </c>
      <c r="L62" s="2" t="s">
        <v>1209</v>
      </c>
    </row>
    <row r="63" spans="1:10" s="2" customFormat="1" ht="14.25" customHeight="1">
      <c r="A63" s="408" t="s">
        <v>2502</v>
      </c>
      <c r="B63" s="408"/>
      <c r="C63" s="408"/>
      <c r="D63" s="408"/>
      <c r="E63" s="408"/>
      <c r="F63" s="408"/>
      <c r="G63" s="15">
        <v>182</v>
      </c>
      <c r="H63" s="16"/>
      <c r="I63" s="66">
        <f>IF(I60&gt;I61,I60-I61,0)</f>
        <v>70199</v>
      </c>
      <c r="J63" s="66">
        <f>IF(J60&gt;J61,J60-J61,0)</f>
        <v>561669</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c r="J65" s="67"/>
      <c r="L65" s="2" t="s">
        <v>1209</v>
      </c>
    </row>
    <row r="66" spans="1:12" s="2" customFormat="1" ht="14.25" customHeight="1">
      <c r="A66" s="385" t="s">
        <v>2504</v>
      </c>
      <c r="B66" s="385"/>
      <c r="C66" s="385"/>
      <c r="D66" s="385"/>
      <c r="E66" s="385"/>
      <c r="F66" s="385"/>
      <c r="G66" s="15">
        <v>185</v>
      </c>
      <c r="H66" s="16"/>
      <c r="I66" s="66">
        <f>I62-I65</f>
        <v>70199</v>
      </c>
      <c r="J66" s="66">
        <f>J62-J65</f>
        <v>561669</v>
      </c>
      <c r="L66" s="2" t="s">
        <v>1209</v>
      </c>
    </row>
    <row r="67" spans="1:10" s="2" customFormat="1" ht="14.25" customHeight="1">
      <c r="A67" s="408" t="s">
        <v>2505</v>
      </c>
      <c r="B67" s="408"/>
      <c r="C67" s="408"/>
      <c r="D67" s="408"/>
      <c r="E67" s="408"/>
      <c r="F67" s="408"/>
      <c r="G67" s="15">
        <v>186</v>
      </c>
      <c r="H67" s="16"/>
      <c r="I67" s="66">
        <f>IF(I66&gt;0,I66,0)</f>
        <v>70199</v>
      </c>
      <c r="J67" s="66">
        <f>IF(J66&gt;0,J66,0)</f>
        <v>561669</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44:F44"/>
    <mergeCell ref="A37:F37"/>
    <mergeCell ref="A32:F32"/>
    <mergeCell ref="A102:F102"/>
    <mergeCell ref="A87:F87"/>
    <mergeCell ref="A50:F50"/>
    <mergeCell ref="A51:F51"/>
    <mergeCell ref="A57:F57"/>
    <mergeCell ref="A56:F56"/>
    <mergeCell ref="A61:F61"/>
    <mergeCell ref="A48:F48"/>
    <mergeCell ref="A46:F46"/>
    <mergeCell ref="A47:F47"/>
    <mergeCell ref="A49:F49"/>
    <mergeCell ref="A38:F38"/>
    <mergeCell ref="A35:F35"/>
    <mergeCell ref="A45:F45"/>
    <mergeCell ref="A25:F25"/>
    <mergeCell ref="A41:F41"/>
    <mergeCell ref="A28:F28"/>
    <mergeCell ref="A30:F30"/>
    <mergeCell ref="A33:F33"/>
    <mergeCell ref="A42:F42"/>
    <mergeCell ref="A43:F43"/>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1" dxfId="2" operator="notEqual" stopIfTrue="1">
      <formula>ROUND(I15,0)</formula>
    </cfRule>
  </conditionalFormatting>
  <conditionalFormatting sqref="I78:J79 I67:J68 I74:J75 I82:J83 I8:J9 I16:J16 I36:J43 I55:J61 I63:J64 I71:J72 I14:J14 J10:J13 I20:J20 J17:J19 J21:J25 I46:J50 J44:J45 I52:J53 J51">
    <cfRule type="cellIs" priority="12" dxfId="2" operator="notEqual" stopIfTrue="1">
      <formula>ROUND(I8,0)</formula>
    </cfRule>
    <cfRule type="cellIs" priority="13" dxfId="1" operator="lessThan" stopIfTrue="1">
      <formula>0</formula>
    </cfRule>
  </conditionalFormatting>
  <conditionalFormatting sqref="I10:I13">
    <cfRule type="cellIs" priority="9" dxfId="2" operator="notEqual" stopIfTrue="1">
      <formula>ROUND(I10,0)</formula>
    </cfRule>
    <cfRule type="cellIs" priority="10" dxfId="1" operator="lessThan" stopIfTrue="1">
      <formula>0</formula>
    </cfRule>
  </conditionalFormatting>
  <conditionalFormatting sqref="I17:I19">
    <cfRule type="cellIs" priority="7" dxfId="2" operator="notEqual" stopIfTrue="1">
      <formula>ROUND(I17,0)</formula>
    </cfRule>
    <cfRule type="cellIs" priority="8" dxfId="1" operator="lessThan" stopIfTrue="1">
      <formula>0</formula>
    </cfRule>
  </conditionalFormatting>
  <conditionalFormatting sqref="I21:I25">
    <cfRule type="cellIs" priority="5" dxfId="2" operator="notEqual" stopIfTrue="1">
      <formula>ROUND(I21,0)</formula>
    </cfRule>
    <cfRule type="cellIs" priority="6" dxfId="1" operator="lessThan" stopIfTrue="1">
      <formula>0</formula>
    </cfRule>
  </conditionalFormatting>
  <conditionalFormatting sqref="I44:I45">
    <cfRule type="cellIs" priority="3" dxfId="2" operator="notEqual" stopIfTrue="1">
      <formula>ROUND(I44,0)</formula>
    </cfRule>
    <cfRule type="cellIs" priority="4" dxfId="1" operator="lessThan" stopIfTrue="1">
      <formula>0</formula>
    </cfRule>
  </conditionalFormatting>
  <conditionalFormatting sqref="I51">
    <cfRule type="cellIs" priority="1" dxfId="2" operator="notEqual" stopIfTrue="1">
      <formula>ROUND(I51,0)</formula>
    </cfRule>
    <cfRule type="cellIs" priority="2"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25" sqref="I25:J2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87815496618; ODVODNJA SAMOBOR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v>0</v>
      </c>
      <c r="J88" s="92">
        <v>0</v>
      </c>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6:J35 I38:J38 J40 I42:J42 I78:J78 J73:J76 I88:J88 I49:J49 I71:J71 J25 J37 I44:J47 J43 I67:J67 J50:J66 I85:J86 J79:J84">
    <cfRule type="cellIs" priority="15" dxfId="2" operator="notEqual" stopIfTrue="1">
      <formula>ROUND(I9,0)</formula>
    </cfRule>
    <cfRule type="cellIs" priority="16" dxfId="1" operator="lessThan" stopIfTrue="1">
      <formula>0</formula>
    </cfRule>
  </conditionalFormatting>
  <conditionalFormatting sqref="I68:J70">
    <cfRule type="cellIs" priority="17" dxfId="2" operator="notEqual" stopIfTrue="1">
      <formula>ROUND(I68,0)</formula>
    </cfRule>
  </conditionalFormatting>
  <conditionalFormatting sqref="I25">
    <cfRule type="cellIs" priority="13" dxfId="2" operator="notEqual" stopIfTrue="1">
      <formula>ROUND(I25,0)</formula>
    </cfRule>
    <cfRule type="cellIs" priority="14" dxfId="1" operator="lessThan" stopIfTrue="1">
      <formula>0</formula>
    </cfRule>
  </conditionalFormatting>
  <conditionalFormatting sqref="I37">
    <cfRule type="cellIs" priority="11" dxfId="2" operator="notEqual" stopIfTrue="1">
      <formula>ROUND(I37,0)</formula>
    </cfRule>
    <cfRule type="cellIs" priority="12" dxfId="1" operator="lessThan" stopIfTrue="1">
      <formula>0</formula>
    </cfRule>
  </conditionalFormatting>
  <conditionalFormatting sqref="I40">
    <cfRule type="cellIs" priority="9" dxfId="2" operator="notEqual" stopIfTrue="1">
      <formula>ROUND(I40,0)</formula>
    </cfRule>
    <cfRule type="cellIs" priority="10" dxfId="1" operator="lessThan" stopIfTrue="1">
      <formula>0</formula>
    </cfRule>
  </conditionalFormatting>
  <conditionalFormatting sqref="I43">
    <cfRule type="cellIs" priority="7" dxfId="2" operator="notEqual" stopIfTrue="1">
      <formula>ROUND(I43,0)</formula>
    </cfRule>
    <cfRule type="cellIs" priority="8" dxfId="1" operator="lessThan" stopIfTrue="1">
      <formula>0</formula>
    </cfRule>
  </conditionalFormatting>
  <conditionalFormatting sqref="I50:I66">
    <cfRule type="cellIs" priority="5" dxfId="2" operator="notEqual" stopIfTrue="1">
      <formula>ROUND(I50,0)</formula>
    </cfRule>
    <cfRule type="cellIs" priority="6" dxfId="1" operator="lessThan" stopIfTrue="1">
      <formula>0</formula>
    </cfRule>
  </conditionalFormatting>
  <conditionalFormatting sqref="I73:I76">
    <cfRule type="cellIs" priority="3" dxfId="2" operator="notEqual" stopIfTrue="1">
      <formula>ROUND(I73,0)</formula>
    </cfRule>
    <cfRule type="cellIs" priority="4" dxfId="1" operator="lessThan" stopIfTrue="1">
      <formula>0</formula>
    </cfRule>
  </conditionalFormatting>
  <conditionalFormatting sqref="I79:I84">
    <cfRule type="cellIs" priority="1" dxfId="2" operator="notEqual" stopIfTrue="1">
      <formula>ROUND(I79,0)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87815496618; ODVODNJA SAMOBOR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87815496618; ODVODNJA SAMOBOR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54:F54"/>
    <mergeCell ref="A53:F53"/>
    <mergeCell ref="A50:F50"/>
    <mergeCell ref="A48:F48"/>
    <mergeCell ref="A51:F51"/>
    <mergeCell ref="A52:F52"/>
    <mergeCell ref="A49:F49"/>
    <mergeCell ref="A37:F37"/>
    <mergeCell ref="A39:F3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87815496618; ODVODNJA SAMOBOR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2023-04-25T07:09:18Z</cp:lastPrinted>
  <dcterms:created xsi:type="dcterms:W3CDTF">2008-10-17T11:51:54Z</dcterms:created>
  <dcterms:modified xsi:type="dcterms:W3CDTF">2023-05-29T06:59:21Z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0x0101003DDC957ECA7C364FA42FFA747EC8AAEF</vt:lpwstr>
  </property>
</Properties>
</file>